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75" windowWidth="11340" windowHeight="6735"/>
  </bookViews>
  <sheets>
    <sheet name="Calendar" sheetId="1" r:id="rId1"/>
    <sheet name="Back Side" sheetId="2" r:id="rId2"/>
  </sheets>
  <definedNames>
    <definedName name="AprSun1">DATEVALUE("4/1/"&amp;Calendar!$A$2)-WEEKDAY(DATEVALUE("4/1/"&amp;Calendar!$A$2))+1</definedName>
    <definedName name="AugSun1">DATEVALUE("8/1/"&amp;Calendar!$A$2)-WEEKDAY(DATEVALUE("8/1/"&amp;Calendar!$A$2))+1</definedName>
    <definedName name="DecSun1">DATEVALUE("12/1/"&amp;Calendar!$A$2)-WEEKDAY(DATEVALUE("12/1/"&amp;Calendar!$A$2))+1</definedName>
    <definedName name="FebSun1">DATEVALUE("2/1/"&amp;Calendar!$A$2)-WEEKDAY(DATEVALUE("2/1/"&amp;Calendar!$A$2))+1</definedName>
    <definedName name="JanSun1">DATEVALUE("1/1/"&amp;Calendar!$A$2)-WEEKDAY(DATEVALUE("1/1/"&amp;Calendar!$A$2))+1</definedName>
    <definedName name="JulSun1">DATEVALUE("7/1/"&amp;Calendar!$A$2)-WEEKDAY(DATEVALUE("7/1/"&amp;Calendar!$A$2))+1</definedName>
    <definedName name="JunSun1">DATEVALUE("6/1/"&amp;Calendar!$A$2)-WEEKDAY(DATEVALUE("6/1/"&amp;Calendar!$A$2))+1</definedName>
    <definedName name="MarSun1">DATEVALUE("3/1/"&amp;Calendar!$A$2)-WEEKDAY(DATEVALUE("3/1/"&amp;Calendar!$A$2))+1</definedName>
    <definedName name="MaySun1">DATEVALUE("5/1/"&amp;Calendar!$A$2)-WEEKDAY(DATEVALUE("5/1/"&amp;Calendar!$A$2))+1</definedName>
    <definedName name="NovSun1">DATEVALUE("11/1/"&amp;Calendar!$A$2)-WEEKDAY(DATEVALUE("11/1/"&amp;Calendar!$A$2))+1</definedName>
    <definedName name="OctSun1">DATEVALUE("10/1/"&amp;Calendar!$A$2)-WEEKDAY(DATEVALUE("10/1/"&amp;Calendar!$A$2))+1</definedName>
    <definedName name="_xlnm.Print_Area" localSheetId="1">'Back Side'!$A$1:$J$72</definedName>
    <definedName name="_xlnm.Print_Area" localSheetId="0">Calendar!$C$2:$Y$58</definedName>
    <definedName name="SepSun1">DATEVALUE("9/1/"&amp;Calendar!$A$2)-WEEKDAY(DATEVALUE("9/1/"&amp;Calendar!$A$2))+1</definedName>
  </definedNames>
  <calcPr calcId="162913"/>
</workbook>
</file>

<file path=xl/calcChain.xml><?xml version="1.0" encoding="utf-8"?>
<calcChain xmlns="http://schemas.openxmlformats.org/spreadsheetml/2006/main">
  <c r="Y23" i="1" l="1"/>
  <c r="D16" i="1" l="1"/>
  <c r="E16" i="1" l="1"/>
  <c r="M25" i="1"/>
  <c r="E7" i="1" l="1"/>
  <c r="S33" i="1" l="1"/>
  <c r="T33" i="1"/>
  <c r="U33" i="1"/>
  <c r="V33" i="1"/>
  <c r="W33" i="1"/>
  <c r="X33" i="1"/>
  <c r="Y33" i="1"/>
  <c r="S34" i="1"/>
  <c r="T34" i="1"/>
  <c r="U34" i="1"/>
  <c r="V34" i="1"/>
  <c r="W34" i="1"/>
  <c r="X34" i="1"/>
  <c r="Y34" i="1"/>
  <c r="S35" i="1"/>
  <c r="T35" i="1"/>
  <c r="U35" i="1"/>
  <c r="V35" i="1"/>
  <c r="W35" i="1"/>
  <c r="X35" i="1"/>
  <c r="Y35" i="1"/>
  <c r="S36" i="1"/>
  <c r="T36" i="1"/>
  <c r="U36" i="1"/>
  <c r="V36" i="1"/>
  <c r="W36" i="1"/>
  <c r="X36" i="1"/>
  <c r="Y36" i="1"/>
  <c r="S37" i="1"/>
  <c r="T37" i="1"/>
  <c r="U37" i="1"/>
  <c r="V37" i="1"/>
  <c r="W37" i="1"/>
  <c r="X37" i="1"/>
  <c r="Y37" i="1"/>
  <c r="Y32" i="1"/>
  <c r="X32" i="1"/>
  <c r="W32" i="1"/>
  <c r="V32" i="1"/>
  <c r="U32" i="1"/>
  <c r="T32" i="1"/>
  <c r="S32"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C33" i="1"/>
  <c r="I32" i="1"/>
  <c r="H32" i="1"/>
  <c r="G32" i="1"/>
  <c r="F32" i="1"/>
  <c r="E32" i="1"/>
  <c r="D32" i="1"/>
  <c r="C32" i="1"/>
  <c r="Y28" i="1"/>
  <c r="X28" i="1"/>
  <c r="W28" i="1"/>
  <c r="V28" i="1"/>
  <c r="U28" i="1"/>
  <c r="T28" i="1"/>
  <c r="S28" i="1"/>
  <c r="Y27" i="1"/>
  <c r="X27" i="1"/>
  <c r="W27" i="1"/>
  <c r="V27" i="1"/>
  <c r="U27" i="1"/>
  <c r="T27" i="1"/>
  <c r="S27" i="1"/>
  <c r="Y26" i="1"/>
  <c r="X26" i="1"/>
  <c r="W26" i="1"/>
  <c r="V26" i="1"/>
  <c r="U26" i="1"/>
  <c r="S26" i="1"/>
  <c r="Y25" i="1"/>
  <c r="X25" i="1"/>
  <c r="W25" i="1"/>
  <c r="V25" i="1"/>
  <c r="U25" i="1"/>
  <c r="S25" i="1"/>
  <c r="Y24" i="1"/>
  <c r="X24" i="1"/>
  <c r="W24" i="1"/>
  <c r="V24" i="1"/>
  <c r="U24" i="1"/>
  <c r="T24" i="1"/>
  <c r="S24" i="1"/>
  <c r="X23" i="1"/>
  <c r="W23" i="1"/>
  <c r="V23" i="1"/>
  <c r="U23" i="1"/>
  <c r="T23" i="1"/>
  <c r="S23" i="1"/>
  <c r="Q28" i="1"/>
  <c r="P28" i="1"/>
  <c r="O28" i="1"/>
  <c r="N28" i="1"/>
  <c r="M28" i="1"/>
  <c r="L28" i="1"/>
  <c r="K28" i="1"/>
  <c r="Q27" i="1"/>
  <c r="P27" i="1"/>
  <c r="O27" i="1"/>
  <c r="N27" i="1"/>
  <c r="M27" i="1"/>
  <c r="L27" i="1"/>
  <c r="K27" i="1"/>
  <c r="Q26" i="1"/>
  <c r="P26" i="1"/>
  <c r="O26" i="1"/>
  <c r="N26" i="1"/>
  <c r="M26" i="1"/>
  <c r="L26" i="1"/>
  <c r="K26" i="1"/>
  <c r="Q25" i="1"/>
  <c r="P25" i="1"/>
  <c r="O25" i="1"/>
  <c r="N25" i="1"/>
  <c r="K25" i="1"/>
  <c r="Q24" i="1"/>
  <c r="P24" i="1"/>
  <c r="O24" i="1"/>
  <c r="N24" i="1"/>
  <c r="M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Y19" i="1"/>
  <c r="X19" i="1"/>
  <c r="W19" i="1"/>
  <c r="V19" i="1"/>
  <c r="U19" i="1"/>
  <c r="T19" i="1"/>
  <c r="S19" i="1"/>
  <c r="Y18" i="1"/>
  <c r="X18" i="1"/>
  <c r="W18" i="1"/>
  <c r="V18" i="1"/>
  <c r="U18" i="1"/>
  <c r="T18" i="1"/>
  <c r="S18" i="1"/>
  <c r="Y17" i="1"/>
  <c r="X17" i="1"/>
  <c r="W17" i="1"/>
  <c r="V17" i="1"/>
  <c r="U17" i="1"/>
  <c r="T17" i="1"/>
  <c r="S17" i="1"/>
  <c r="Y16" i="1"/>
  <c r="X16" i="1"/>
  <c r="W16" i="1"/>
  <c r="V16" i="1"/>
  <c r="U16" i="1"/>
  <c r="T16" i="1"/>
  <c r="S16" i="1"/>
  <c r="Y15" i="1"/>
  <c r="X15" i="1"/>
  <c r="W15" i="1"/>
  <c r="V15" i="1"/>
  <c r="U15" i="1"/>
  <c r="T15" i="1"/>
  <c r="S15" i="1"/>
  <c r="Y14" i="1"/>
  <c r="X14" i="1"/>
  <c r="W14" i="1"/>
  <c r="V14" i="1"/>
  <c r="U14" i="1"/>
  <c r="T14" i="1"/>
  <c r="S14" i="1"/>
  <c r="Q19" i="1"/>
  <c r="P19" i="1"/>
  <c r="O19" i="1"/>
  <c r="N19" i="1"/>
  <c r="M19" i="1"/>
  <c r="L19" i="1"/>
  <c r="K19" i="1"/>
  <c r="Q18" i="1"/>
  <c r="P18" i="1"/>
  <c r="O18" i="1"/>
  <c r="N18" i="1"/>
  <c r="M18" i="1"/>
  <c r="L18" i="1"/>
  <c r="K18" i="1"/>
  <c r="Q17" i="1"/>
  <c r="P17" i="1"/>
  <c r="O17" i="1"/>
  <c r="N17" i="1"/>
  <c r="M17" i="1"/>
  <c r="K17" i="1"/>
  <c r="Q16" i="1"/>
  <c r="P16" i="1"/>
  <c r="O16" i="1"/>
  <c r="N16" i="1"/>
  <c r="M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C16" i="1"/>
  <c r="I15" i="1"/>
  <c r="H15" i="1"/>
  <c r="G15" i="1"/>
  <c r="F15" i="1"/>
  <c r="E15" i="1"/>
  <c r="D15" i="1"/>
  <c r="C15" i="1"/>
  <c r="I14" i="1"/>
  <c r="H14" i="1"/>
  <c r="G14" i="1"/>
  <c r="F14" i="1"/>
  <c r="E14" i="1"/>
  <c r="D14" i="1"/>
  <c r="C14" i="1"/>
  <c r="Y10" i="1"/>
  <c r="X10" i="1"/>
  <c r="W10" i="1"/>
  <c r="V10" i="1"/>
  <c r="U10" i="1"/>
  <c r="T10" i="1"/>
  <c r="S10" i="1"/>
  <c r="Y9" i="1"/>
  <c r="X9" i="1"/>
  <c r="W9" i="1"/>
  <c r="V9" i="1"/>
  <c r="U9" i="1"/>
  <c r="T9" i="1"/>
  <c r="S9" i="1"/>
  <c r="Y8" i="1"/>
  <c r="X8" i="1"/>
  <c r="W8" i="1"/>
  <c r="V8" i="1"/>
  <c r="U8" i="1"/>
  <c r="T8" i="1"/>
  <c r="S8" i="1"/>
  <c r="Y7" i="1"/>
  <c r="X7" i="1"/>
  <c r="W7" i="1"/>
  <c r="V7" i="1"/>
  <c r="U7" i="1"/>
  <c r="T7" i="1"/>
  <c r="S7" i="1"/>
  <c r="Y6" i="1"/>
  <c r="X6" i="1"/>
  <c r="W6" i="1"/>
  <c r="V6" i="1"/>
  <c r="U6" i="1"/>
  <c r="T6" i="1"/>
  <c r="S6" i="1"/>
  <c r="Y5" i="1"/>
  <c r="X5" i="1"/>
  <c r="W5" i="1"/>
  <c r="V5" i="1"/>
  <c r="U5" i="1"/>
  <c r="T5" i="1"/>
  <c r="S5"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G7" i="1"/>
  <c r="F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<sst xmlns="http://schemas.openxmlformats.org/spreadsheetml/2006/main" count="114" uniqueCount="35">
  <si>
    <t>S</t>
  </si>
  <si>
    <t>M</t>
  </si>
  <si>
    <t>T</t>
  </si>
  <si>
    <t>W</t>
  </si>
  <si>
    <t>F</t>
  </si>
  <si>
    <t>January</t>
  </si>
  <si>
    <t>February</t>
  </si>
  <si>
    <t>March</t>
  </si>
  <si>
    <t>April</t>
  </si>
  <si>
    <t>May</t>
  </si>
  <si>
    <t>June</t>
  </si>
  <si>
    <t>July</t>
  </si>
  <si>
    <t>September</t>
  </si>
  <si>
    <t>October</t>
  </si>
  <si>
    <t>August</t>
  </si>
  <si>
    <t>November</t>
  </si>
  <si>
    <t>December</t>
  </si>
  <si>
    <t>Go to the City of Gillett website for up to date information: www.cityofgillett.com</t>
  </si>
  <si>
    <t>If you need more information, please call City Hall at 920-855-2255.</t>
  </si>
  <si>
    <t>**This schedule is subject ot changes required because of mechanical breakdown or other emergencies**</t>
  </si>
  <si>
    <t>Brush Chipping</t>
  </si>
  <si>
    <t xml:space="preserve">For Curbside Brush Chipping and Fall Leaf Pick-Up, please have your brush and leaves out by 7:00 am on Monday morning. </t>
  </si>
  <si>
    <t>The City cannot guarantee pickup if brush and leaves are not out at this time.</t>
  </si>
  <si>
    <t>from 8 am - 1pm; white goods (appliances), tires, car batteries, motor oil &amp; filters, antifreeze, scrap metal, and electrical items.</t>
  </si>
  <si>
    <t>The following items are not collected curbside but may be recycled at the drop-off center located on W Park St on Saturdays</t>
  </si>
  <si>
    <t>Set out recycling bins and garbage bags by 7am for pickup.</t>
  </si>
  <si>
    <t>http://dnr.wi.gov/topic/Recycling and http://dnr.wi.gov/topic/Recycling/law.html</t>
  </si>
  <si>
    <t>For more information on recycling in Wisconsin and Wisconsin recycling laws:</t>
  </si>
  <si>
    <t>Incorrectly prepared recyclables will be left in the bin with a card to help you recycle correctly.</t>
  </si>
  <si>
    <t xml:space="preserve">   Fall Leaf Pick-Up (Depends Upon Weather)</t>
  </si>
  <si>
    <t>Reminder: No Overnight Parking on City Streets From November 1 to April 1</t>
  </si>
  <si>
    <t>City of Gillett 2020 Garbage, Recycling,</t>
  </si>
  <si>
    <t>City of Gillett 2020 Garbage, Recycling,Brush Chipping, and Leaf Pick-up Schedule</t>
  </si>
  <si>
    <t xml:space="preserve"> Curbside Recycling &amp; Garbage Collection</t>
  </si>
  <si>
    <t xml:space="preserve">   Recycling Center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</si>
</sst>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d"/>
    <numFmt numFmtId="166" formatCode="d"/>
  </numFmts>
  <fonts count="8" x14ac:knownFonts="1">
    <font>
      <sz val="10"/>
      <name val="Arial"/>
    </font>
    <font>
      <sz val="8"/>
      <name val="Arial"/>
      <family val="2"/>
    </font>
    <font>
      <b/>
      <sz val="10"/>
      <name val="Calibri"/>
      <family val="2"/>
      <scheme val="minor"/>
    </font>
    <font>
      <sz val="10"/>
      <name val="Calibri"/>
      <family val="2"/>
      <scheme val="minor"/>
    </font>
    <font>
      <b/>
      <sz val="20"/>
      <name val="Calibri"/>
      <family val="2"/>
      <scheme val="minor"/>
    </font>
    <font>
      <sz val="24"/>
      <name val="Arial Black"/>
      <family val="2"/>
    </font>
    <font>
      <sz val="20"/>
      <name val="Arial Black"/>
      <family val="2"/>
    </font>
    <font>
      <sz val="12"/>
      <name val="Arial Black"/>
      <family val="2"/>
    </font>
  </fonts>
  <fills count="5">
    <fill>
      <patternFill patternType="none"/>
    </fill>
    <fill>
      <patternFill patternType="gray125"/>
    </fill>
    <fill>
      <patternFill patternType="solid">
        <fgColor theme="9" tint="0.59999389629810485"/>
        <bgColor indexed="64"/>
      </patternFill>
    </fill>
    <fill>
      <patternFill patternType="darkHorizontal">
        <fgColor theme="0" tint="-0.499984740745262"/>
        <bgColor theme="0" tint="-0.14993743705557422"/>
      </patternFill>
    </fill>
    <fill>
      <patternFill patternType="lightHorizontal">
        <bgColor theme="0" tint="-0.2499465926084170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166" fontId="3" fillId="0" borderId="1" xfId="0" applyNumberFormat="1" applyFont="1" applyBorder="1"/>
    <xf numFmtId="166" fontId="3" fillId="0" borderId="2" xfId="0" applyNumberFormat="1" applyFont="1" applyBorder="1"/>
    <xf numFmtId="0" fontId="3" fillId="0" borderId="0" xfId="0" applyFont="1" applyBorder="1"/>
    <xf numFmtId="166" fontId="3" fillId="0" borderId="6" xfId="0" applyNumberFormat="1" applyFont="1" applyBorder="1"/>
    <xf numFmtId="165" fontId="3" fillId="0" borderId="0" xfId="0" applyNumberFormat="1" applyFont="1"/>
    <xf numFmtId="1" fontId="4" fillId="0" borderId="0" xfId="0" applyNumberFormat="1" applyFont="1" applyBorder="1" applyAlignment="1">
      <alignment horizontal="center" vertical="center"/>
    </xf>
    <xf numFmtId="166" fontId="3" fillId="0" borderId="3" xfId="0" applyNumberFormat="1" applyFont="1" applyBorder="1"/>
    <xf numFmtId="166" fontId="3" fillId="0" borderId="5" xfId="0" applyNumberFormat="1" applyFont="1" applyBorder="1"/>
    <xf numFmtId="166" fontId="3" fillId="0" borderId="8" xfId="0" applyNumberFormat="1" applyFont="1" applyBorder="1"/>
    <xf numFmtId="0" fontId="3" fillId="0" borderId="2" xfId="0" applyFont="1" applyBorder="1" applyAlignment="1">
      <alignment horizontal="center"/>
    </xf>
    <xf numFmtId="166" fontId="3" fillId="0" borderId="7" xfId="0" applyNumberFormat="1" applyFont="1" applyBorder="1"/>
    <xf numFmtId="166" fontId="3" fillId="0" borderId="9" xfId="0" applyNumberFormat="1" applyFont="1" applyBorder="1"/>
    <xf numFmtId="166" fontId="3" fillId="0" borderId="10" xfId="0" applyNumberFormat="1" applyFont="1" applyBorder="1"/>
    <xf numFmtId="165" fontId="3" fillId="0" borderId="0" xfId="0" applyNumberFormat="1" applyFont="1" applyBorder="1"/>
    <xf numFmtId="165" fontId="3" fillId="0" borderId="0" xfId="0" applyNumberFormat="1" applyFont="1" applyFill="1" applyBorder="1"/>
    <xf numFmtId="166" fontId="3" fillId="0" borderId="1" xfId="0" applyNumberFormat="1" applyFont="1" applyFill="1" applyBorder="1"/>
    <xf numFmtId="166" fontId="3" fillId="0" borderId="11" xfId="0" applyNumberFormat="1" applyFont="1" applyFill="1" applyBorder="1"/>
    <xf numFmtId="166" fontId="3" fillId="0" borderId="2" xfId="0" applyNumberFormat="1" applyFont="1" applyFill="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6" fontId="3" fillId="0" borderId="3" xfId="0" applyNumberFormat="1" applyFont="1" applyFill="1" applyBorder="1"/>
    <xf numFmtId="166" fontId="3" fillId="0" borderId="8" xfId="0" applyNumberFormat="1" applyFont="1" applyFill="1" applyBorder="1"/>
    <xf numFmtId="166" fontId="3" fillId="0" borderId="7" xfId="0" applyNumberFormat="1" applyFont="1" applyFill="1" applyBorder="1"/>
    <xf numFmtId="166" fontId="3" fillId="0" borderId="12" xfId="0" applyNumberFormat="1" applyFont="1" applyFill="1" applyBorder="1"/>
    <xf numFmtId="166" fontId="3" fillId="0" borderId="5" xfId="0" applyNumberFormat="1" applyFont="1" applyFill="1" applyBorder="1"/>
    <xf numFmtId="164" fontId="5" fillId="0" borderId="0" xfId="0" applyNumberFormat="1" applyFont="1" applyAlignment="1"/>
    <xf numFmtId="166" fontId="3" fillId="0" borderId="0" xfId="0" applyNumberFormat="1" applyFont="1" applyBorder="1"/>
    <xf numFmtId="165" fontId="2" fillId="0" borderId="0" xfId="0" applyNumberFormat="1" applyFont="1" applyAlignment="1"/>
    <xf numFmtId="165" fontId="3" fillId="0" borderId="0" xfId="0" applyNumberFormat="1" applyFont="1" applyAlignment="1"/>
    <xf numFmtId="0" fontId="3" fillId="0" borderId="0" xfId="0" applyFont="1" applyAlignment="1"/>
    <xf numFmtId="164" fontId="5" fillId="0" borderId="0" xfId="0" applyNumberFormat="1" applyFont="1" applyBorder="1" applyAlignment="1"/>
    <xf numFmtId="165" fontId="2" fillId="0" borderId="0" xfId="0" applyNumberFormat="1" applyFont="1" applyBorder="1" applyAlignment="1"/>
    <xf numFmtId="165" fontId="3" fillId="0" borderId="0" xfId="0" applyNumberFormat="1" applyFont="1" applyBorder="1" applyAlignment="1"/>
    <xf numFmtId="0" fontId="3" fillId="0" borderId="0" xfId="0" applyFont="1" applyBorder="1" applyAlignment="1"/>
    <xf numFmtId="165" fontId="3" fillId="3" borderId="0" xfId="0" applyNumberFormat="1" applyFont="1" applyFill="1" applyBorder="1"/>
    <xf numFmtId="166" fontId="3" fillId="4" borderId="1" xfId="0" applyNumberFormat="1" applyFont="1" applyFill="1" applyBorder="1"/>
    <xf numFmtId="165" fontId="3" fillId="0" borderId="0" xfId="0" applyNumberFormat="1" applyFont="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4" fontId="6" fillId="0" borderId="0" xfId="0" applyNumberFormat="1" applyFont="1" applyAlignment="1">
      <alignment horizontal="center"/>
    </xf>
    <xf numFmtId="164" fontId="5" fillId="0" borderId="0" xfId="0" applyNumberFormat="1" applyFont="1" applyAlignment="1">
      <alignment horizontal="center"/>
    </xf>
    <xf numFmtId="0" fontId="3" fillId="0" borderId="0" xfId="0" applyFont="1" applyAlignment="1">
      <alignment horizontal="center"/>
    </xf>
    <xf numFmtId="164" fontId="7" fillId="0" borderId="0" xfId="0" applyNumberFormat="1" applyFont="1" applyAlignment="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0" fillId="0" borderId="0" xfId="0"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mruColors>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5" fmlaLink="$A$2" max="9999" min="1900" page="10" val="202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523875</xdr:colOff>
          <xdr:row>1</xdr:row>
          <xdr:rowOff>0</xdr:rowOff>
        </xdr:from>
        <xdr:to>
          <xdr:col>1</xdr:col>
          <xdr:colOff>47625</xdr:colOff>
          <xdr:row>1</xdr:row>
          <xdr:rowOff>276225</xdr:rowOff>
        </xdr:to>
        <xdr:sp macro="" textlink="">
          <xdr:nvSpPr>
            <xdr:cNvPr id="1025" name="Spinner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4</xdr:col>
      <xdr:colOff>9525</xdr:colOff>
      <xdr:row>5</xdr:row>
      <xdr:rowOff>0</xdr:rowOff>
    </xdr:from>
    <xdr:to>
      <xdr:col>4</xdr:col>
      <xdr:colOff>152400</xdr:colOff>
      <xdr:row>5</xdr:row>
      <xdr:rowOff>161925</xdr:rowOff>
    </xdr:to>
    <xdr:sp macro="" textlink="">
      <xdr:nvSpPr>
        <xdr:cNvPr id="47" name="Right Triangle 46"/>
        <xdr:cNvSpPr/>
      </xdr:nvSpPr>
      <xdr:spPr>
        <a:xfrm rot="5400000">
          <a:off x="1514475" y="17526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6</xdr:row>
      <xdr:rowOff>0</xdr:rowOff>
    </xdr:from>
    <xdr:to>
      <xdr:col>4</xdr:col>
      <xdr:colOff>161925</xdr:colOff>
      <xdr:row>6</xdr:row>
      <xdr:rowOff>161925</xdr:rowOff>
    </xdr:to>
    <xdr:sp macro="" textlink="">
      <xdr:nvSpPr>
        <xdr:cNvPr id="51" name="Right Triangle 50"/>
        <xdr:cNvSpPr/>
      </xdr:nvSpPr>
      <xdr:spPr>
        <a:xfrm rot="5400000">
          <a:off x="1524000" y="20574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7</xdr:row>
      <xdr:rowOff>9525</xdr:rowOff>
    </xdr:from>
    <xdr:to>
      <xdr:col>4</xdr:col>
      <xdr:colOff>161925</xdr:colOff>
      <xdr:row>7</xdr:row>
      <xdr:rowOff>171450</xdr:rowOff>
    </xdr:to>
    <xdr:sp macro="" textlink="">
      <xdr:nvSpPr>
        <xdr:cNvPr id="53" name="Right Triangle 52"/>
        <xdr:cNvSpPr/>
      </xdr:nvSpPr>
      <xdr:spPr>
        <a:xfrm rot="5400000">
          <a:off x="1524000" y="23717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9525</xdr:colOff>
      <xdr:row>5</xdr:row>
      <xdr:rowOff>19050</xdr:rowOff>
    </xdr:from>
    <xdr:to>
      <xdr:col>12</xdr:col>
      <xdr:colOff>152400</xdr:colOff>
      <xdr:row>5</xdr:row>
      <xdr:rowOff>180975</xdr:rowOff>
    </xdr:to>
    <xdr:sp macro="" textlink="">
      <xdr:nvSpPr>
        <xdr:cNvPr id="55" name="Right Triangle 54"/>
        <xdr:cNvSpPr/>
      </xdr:nvSpPr>
      <xdr:spPr>
        <a:xfrm rot="5400000">
          <a:off x="3962400" y="17716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28575</xdr:colOff>
      <xdr:row>6</xdr:row>
      <xdr:rowOff>9525</xdr:rowOff>
    </xdr:from>
    <xdr:to>
      <xdr:col>12</xdr:col>
      <xdr:colOff>171450</xdr:colOff>
      <xdr:row>6</xdr:row>
      <xdr:rowOff>171450</xdr:rowOff>
    </xdr:to>
    <xdr:sp macro="" textlink="">
      <xdr:nvSpPr>
        <xdr:cNvPr id="56" name="Right Triangle 55"/>
        <xdr:cNvSpPr/>
      </xdr:nvSpPr>
      <xdr:spPr>
        <a:xfrm rot="5400000">
          <a:off x="3981450" y="20669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9525</xdr:colOff>
      <xdr:row>7</xdr:row>
      <xdr:rowOff>19050</xdr:rowOff>
    </xdr:from>
    <xdr:to>
      <xdr:col>12</xdr:col>
      <xdr:colOff>152400</xdr:colOff>
      <xdr:row>7</xdr:row>
      <xdr:rowOff>180975</xdr:rowOff>
    </xdr:to>
    <xdr:sp macro="" textlink="">
      <xdr:nvSpPr>
        <xdr:cNvPr id="58" name="Right Triangle 57"/>
        <xdr:cNvSpPr/>
      </xdr:nvSpPr>
      <xdr:spPr>
        <a:xfrm rot="5400000">
          <a:off x="3962400" y="23812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xdr:colOff>
      <xdr:row>8</xdr:row>
      <xdr:rowOff>19050</xdr:rowOff>
    </xdr:from>
    <xdr:to>
      <xdr:col>12</xdr:col>
      <xdr:colOff>161925</xdr:colOff>
      <xdr:row>8</xdr:row>
      <xdr:rowOff>180975</xdr:rowOff>
    </xdr:to>
    <xdr:sp macro="" textlink="">
      <xdr:nvSpPr>
        <xdr:cNvPr id="60" name="Right Triangle 59"/>
        <xdr:cNvSpPr/>
      </xdr:nvSpPr>
      <xdr:spPr>
        <a:xfrm rot="5400000">
          <a:off x="3971925" y="26860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6</xdr:row>
      <xdr:rowOff>0</xdr:rowOff>
    </xdr:from>
    <xdr:to>
      <xdr:col>20</xdr:col>
      <xdr:colOff>152400</xdr:colOff>
      <xdr:row>6</xdr:row>
      <xdr:rowOff>161925</xdr:rowOff>
    </xdr:to>
    <xdr:sp macro="" textlink="">
      <xdr:nvSpPr>
        <xdr:cNvPr id="62" name="Right Triangle 61"/>
        <xdr:cNvSpPr/>
      </xdr:nvSpPr>
      <xdr:spPr>
        <a:xfrm rot="5400000">
          <a:off x="6410325" y="20574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5</xdr:row>
      <xdr:rowOff>28575</xdr:rowOff>
    </xdr:from>
    <xdr:to>
      <xdr:col>20</xdr:col>
      <xdr:colOff>161925</xdr:colOff>
      <xdr:row>5</xdr:row>
      <xdr:rowOff>190500</xdr:rowOff>
    </xdr:to>
    <xdr:sp macro="" textlink="">
      <xdr:nvSpPr>
        <xdr:cNvPr id="63" name="Right Triangle 62"/>
        <xdr:cNvSpPr/>
      </xdr:nvSpPr>
      <xdr:spPr>
        <a:xfrm rot="5400000">
          <a:off x="6419850" y="17811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7</xdr:row>
      <xdr:rowOff>28575</xdr:rowOff>
    </xdr:from>
    <xdr:to>
      <xdr:col>20</xdr:col>
      <xdr:colOff>161925</xdr:colOff>
      <xdr:row>7</xdr:row>
      <xdr:rowOff>190500</xdr:rowOff>
    </xdr:to>
    <xdr:sp macro="" textlink="">
      <xdr:nvSpPr>
        <xdr:cNvPr id="66" name="Right Triangle 65"/>
        <xdr:cNvSpPr/>
      </xdr:nvSpPr>
      <xdr:spPr>
        <a:xfrm rot="5400000">
          <a:off x="6419850" y="23907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8</xdr:row>
      <xdr:rowOff>19050</xdr:rowOff>
    </xdr:from>
    <xdr:to>
      <xdr:col>20</xdr:col>
      <xdr:colOff>152400</xdr:colOff>
      <xdr:row>8</xdr:row>
      <xdr:rowOff>180975</xdr:rowOff>
    </xdr:to>
    <xdr:sp macro="" textlink="">
      <xdr:nvSpPr>
        <xdr:cNvPr id="67" name="Right Triangle 66"/>
        <xdr:cNvSpPr/>
      </xdr:nvSpPr>
      <xdr:spPr>
        <a:xfrm rot="5400000">
          <a:off x="6410325" y="26860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xdr:colOff>
      <xdr:row>26</xdr:row>
      <xdr:rowOff>28575</xdr:rowOff>
    </xdr:from>
    <xdr:to>
      <xdr:col>12</xdr:col>
      <xdr:colOff>161925</xdr:colOff>
      <xdr:row>26</xdr:row>
      <xdr:rowOff>190500</xdr:rowOff>
    </xdr:to>
    <xdr:sp macro="" textlink="">
      <xdr:nvSpPr>
        <xdr:cNvPr id="71" name="Right Triangle 70"/>
        <xdr:cNvSpPr/>
      </xdr:nvSpPr>
      <xdr:spPr>
        <a:xfrm rot="5400000">
          <a:off x="3971925" y="77628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17</xdr:row>
      <xdr:rowOff>19050</xdr:rowOff>
    </xdr:from>
    <xdr:to>
      <xdr:col>20</xdr:col>
      <xdr:colOff>161925</xdr:colOff>
      <xdr:row>17</xdr:row>
      <xdr:rowOff>180975</xdr:rowOff>
    </xdr:to>
    <xdr:sp macro="" textlink="">
      <xdr:nvSpPr>
        <xdr:cNvPr id="73" name="Right Triangle 72"/>
        <xdr:cNvSpPr/>
      </xdr:nvSpPr>
      <xdr:spPr>
        <a:xfrm rot="5400000">
          <a:off x="6419850" y="52197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16</xdr:row>
      <xdr:rowOff>9525</xdr:rowOff>
    </xdr:from>
    <xdr:to>
      <xdr:col>20</xdr:col>
      <xdr:colOff>161925</xdr:colOff>
      <xdr:row>16</xdr:row>
      <xdr:rowOff>171450</xdr:rowOff>
    </xdr:to>
    <xdr:sp macro="" textlink="">
      <xdr:nvSpPr>
        <xdr:cNvPr id="76" name="Right Triangle 75"/>
        <xdr:cNvSpPr/>
      </xdr:nvSpPr>
      <xdr:spPr>
        <a:xfrm rot="5400000">
          <a:off x="6419850" y="49053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28575</xdr:colOff>
      <xdr:row>15</xdr:row>
      <xdr:rowOff>9525</xdr:rowOff>
    </xdr:from>
    <xdr:to>
      <xdr:col>20</xdr:col>
      <xdr:colOff>171450</xdr:colOff>
      <xdr:row>15</xdr:row>
      <xdr:rowOff>171450</xdr:rowOff>
    </xdr:to>
    <xdr:sp macro="" textlink="">
      <xdr:nvSpPr>
        <xdr:cNvPr id="77" name="Right Triangle 76"/>
        <xdr:cNvSpPr/>
      </xdr:nvSpPr>
      <xdr:spPr>
        <a:xfrm rot="5400000">
          <a:off x="6429375" y="46005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25</xdr:row>
      <xdr:rowOff>19050</xdr:rowOff>
    </xdr:from>
    <xdr:to>
      <xdr:col>20</xdr:col>
      <xdr:colOff>161925</xdr:colOff>
      <xdr:row>25</xdr:row>
      <xdr:rowOff>180975</xdr:rowOff>
    </xdr:to>
    <xdr:sp macro="" textlink="">
      <xdr:nvSpPr>
        <xdr:cNvPr id="80" name="Right Triangle 79"/>
        <xdr:cNvSpPr/>
      </xdr:nvSpPr>
      <xdr:spPr>
        <a:xfrm rot="5400000">
          <a:off x="6419850" y="74485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15</xdr:row>
      <xdr:rowOff>19050</xdr:rowOff>
    </xdr:from>
    <xdr:to>
      <xdr:col>12</xdr:col>
      <xdr:colOff>142875</xdr:colOff>
      <xdr:row>15</xdr:row>
      <xdr:rowOff>180975</xdr:rowOff>
    </xdr:to>
    <xdr:sp macro="" textlink="">
      <xdr:nvSpPr>
        <xdr:cNvPr id="83" name="Right Triangle 82"/>
        <xdr:cNvSpPr/>
      </xdr:nvSpPr>
      <xdr:spPr>
        <a:xfrm rot="5400000">
          <a:off x="3952875" y="46101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9525</xdr:colOff>
      <xdr:row>16</xdr:row>
      <xdr:rowOff>9525</xdr:rowOff>
    </xdr:from>
    <xdr:to>
      <xdr:col>12</xdr:col>
      <xdr:colOff>152400</xdr:colOff>
      <xdr:row>16</xdr:row>
      <xdr:rowOff>171450</xdr:rowOff>
    </xdr:to>
    <xdr:sp macro="" textlink="">
      <xdr:nvSpPr>
        <xdr:cNvPr id="84" name="Right Triangle 83"/>
        <xdr:cNvSpPr/>
      </xdr:nvSpPr>
      <xdr:spPr>
        <a:xfrm rot="5400000">
          <a:off x="3962400" y="49053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28575</xdr:colOff>
      <xdr:row>14</xdr:row>
      <xdr:rowOff>19050</xdr:rowOff>
    </xdr:from>
    <xdr:to>
      <xdr:col>12</xdr:col>
      <xdr:colOff>171450</xdr:colOff>
      <xdr:row>14</xdr:row>
      <xdr:rowOff>180975</xdr:rowOff>
    </xdr:to>
    <xdr:sp macro="" textlink="">
      <xdr:nvSpPr>
        <xdr:cNvPr id="88" name="Right Triangle 87"/>
        <xdr:cNvSpPr/>
      </xdr:nvSpPr>
      <xdr:spPr>
        <a:xfrm rot="5400000">
          <a:off x="3981450" y="43053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17</xdr:row>
      <xdr:rowOff>19050</xdr:rowOff>
    </xdr:from>
    <xdr:to>
      <xdr:col>4</xdr:col>
      <xdr:colOff>152400</xdr:colOff>
      <xdr:row>17</xdr:row>
      <xdr:rowOff>180975</xdr:rowOff>
    </xdr:to>
    <xdr:sp macro="" textlink="">
      <xdr:nvSpPr>
        <xdr:cNvPr id="90" name="Right Triangle 89"/>
        <xdr:cNvSpPr/>
      </xdr:nvSpPr>
      <xdr:spPr>
        <a:xfrm rot="5400000">
          <a:off x="1514475" y="52197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16</xdr:row>
      <xdr:rowOff>9525</xdr:rowOff>
    </xdr:from>
    <xdr:to>
      <xdr:col>4</xdr:col>
      <xdr:colOff>152400</xdr:colOff>
      <xdr:row>16</xdr:row>
      <xdr:rowOff>171450</xdr:rowOff>
    </xdr:to>
    <xdr:sp macro="" textlink="">
      <xdr:nvSpPr>
        <xdr:cNvPr id="91" name="Right Triangle 90"/>
        <xdr:cNvSpPr/>
      </xdr:nvSpPr>
      <xdr:spPr>
        <a:xfrm rot="5400000">
          <a:off x="1514475" y="49053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13</xdr:row>
      <xdr:rowOff>295275</xdr:rowOff>
    </xdr:from>
    <xdr:to>
      <xdr:col>4</xdr:col>
      <xdr:colOff>152400</xdr:colOff>
      <xdr:row>14</xdr:row>
      <xdr:rowOff>152400</xdr:rowOff>
    </xdr:to>
    <xdr:sp macro="" textlink="">
      <xdr:nvSpPr>
        <xdr:cNvPr id="92" name="Right Triangle 91"/>
        <xdr:cNvSpPr/>
      </xdr:nvSpPr>
      <xdr:spPr>
        <a:xfrm rot="5400000">
          <a:off x="1514475" y="42767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15</xdr:row>
      <xdr:rowOff>0</xdr:rowOff>
    </xdr:from>
    <xdr:to>
      <xdr:col>4</xdr:col>
      <xdr:colOff>152400</xdr:colOff>
      <xdr:row>15</xdr:row>
      <xdr:rowOff>161925</xdr:rowOff>
    </xdr:to>
    <xdr:sp macro="" textlink="">
      <xdr:nvSpPr>
        <xdr:cNvPr id="93" name="Right Triangle 92"/>
        <xdr:cNvSpPr/>
      </xdr:nvSpPr>
      <xdr:spPr>
        <a:xfrm rot="5400000">
          <a:off x="1514475" y="45910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38100</xdr:colOff>
      <xdr:row>25</xdr:row>
      <xdr:rowOff>19050</xdr:rowOff>
    </xdr:from>
    <xdr:to>
      <xdr:col>4</xdr:col>
      <xdr:colOff>180975</xdr:colOff>
      <xdr:row>25</xdr:row>
      <xdr:rowOff>180975</xdr:rowOff>
    </xdr:to>
    <xdr:sp macro="" textlink="">
      <xdr:nvSpPr>
        <xdr:cNvPr id="96" name="Right Triangle 95"/>
        <xdr:cNvSpPr/>
      </xdr:nvSpPr>
      <xdr:spPr>
        <a:xfrm rot="5400000">
          <a:off x="1543050" y="74485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24</xdr:row>
      <xdr:rowOff>9525</xdr:rowOff>
    </xdr:from>
    <xdr:to>
      <xdr:col>4</xdr:col>
      <xdr:colOff>171450</xdr:colOff>
      <xdr:row>24</xdr:row>
      <xdr:rowOff>171450</xdr:rowOff>
    </xdr:to>
    <xdr:sp macro="" textlink="">
      <xdr:nvSpPr>
        <xdr:cNvPr id="98" name="Right Triangle 97"/>
        <xdr:cNvSpPr/>
      </xdr:nvSpPr>
      <xdr:spPr>
        <a:xfrm rot="5400000">
          <a:off x="1533525" y="71342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26</xdr:row>
      <xdr:rowOff>9525</xdr:rowOff>
    </xdr:from>
    <xdr:to>
      <xdr:col>4</xdr:col>
      <xdr:colOff>171450</xdr:colOff>
      <xdr:row>26</xdr:row>
      <xdr:rowOff>171450</xdr:rowOff>
    </xdr:to>
    <xdr:sp macro="" textlink="">
      <xdr:nvSpPr>
        <xdr:cNvPr id="102" name="Right Triangle 101"/>
        <xdr:cNvSpPr/>
      </xdr:nvSpPr>
      <xdr:spPr>
        <a:xfrm rot="5400000">
          <a:off x="1533525" y="77438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28575</xdr:colOff>
      <xdr:row>23</xdr:row>
      <xdr:rowOff>295275</xdr:rowOff>
    </xdr:from>
    <xdr:to>
      <xdr:col>12</xdr:col>
      <xdr:colOff>171450</xdr:colOff>
      <xdr:row>24</xdr:row>
      <xdr:rowOff>152400</xdr:rowOff>
    </xdr:to>
    <xdr:sp macro="" textlink="">
      <xdr:nvSpPr>
        <xdr:cNvPr id="107" name="Right Triangle 106"/>
        <xdr:cNvSpPr/>
      </xdr:nvSpPr>
      <xdr:spPr>
        <a:xfrm rot="5400000">
          <a:off x="3981450" y="71151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xdr:colOff>
      <xdr:row>23</xdr:row>
      <xdr:rowOff>9525</xdr:rowOff>
    </xdr:from>
    <xdr:to>
      <xdr:col>12</xdr:col>
      <xdr:colOff>161925</xdr:colOff>
      <xdr:row>23</xdr:row>
      <xdr:rowOff>171450</xdr:rowOff>
    </xdr:to>
    <xdr:sp macro="" textlink="">
      <xdr:nvSpPr>
        <xdr:cNvPr id="109" name="Right Triangle 108"/>
        <xdr:cNvSpPr/>
      </xdr:nvSpPr>
      <xdr:spPr>
        <a:xfrm rot="5400000">
          <a:off x="3971925" y="68294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28575</xdr:colOff>
      <xdr:row>25</xdr:row>
      <xdr:rowOff>19050</xdr:rowOff>
    </xdr:from>
    <xdr:to>
      <xdr:col>12</xdr:col>
      <xdr:colOff>171450</xdr:colOff>
      <xdr:row>25</xdr:row>
      <xdr:rowOff>180975</xdr:rowOff>
    </xdr:to>
    <xdr:sp macro="" textlink="">
      <xdr:nvSpPr>
        <xdr:cNvPr id="113" name="Right Triangle 112"/>
        <xdr:cNvSpPr/>
      </xdr:nvSpPr>
      <xdr:spPr>
        <a:xfrm rot="5400000">
          <a:off x="3981450" y="74485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28575</xdr:colOff>
      <xdr:row>34</xdr:row>
      <xdr:rowOff>9525</xdr:rowOff>
    </xdr:from>
    <xdr:to>
      <xdr:col>20</xdr:col>
      <xdr:colOff>171450</xdr:colOff>
      <xdr:row>34</xdr:row>
      <xdr:rowOff>171450</xdr:rowOff>
    </xdr:to>
    <xdr:sp macro="" textlink="">
      <xdr:nvSpPr>
        <xdr:cNvPr id="124" name="Right Triangle 123"/>
        <xdr:cNvSpPr/>
      </xdr:nvSpPr>
      <xdr:spPr>
        <a:xfrm rot="5400000">
          <a:off x="6429375" y="101822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19050</xdr:colOff>
      <xdr:row>33</xdr:row>
      <xdr:rowOff>9525</xdr:rowOff>
    </xdr:from>
    <xdr:to>
      <xdr:col>20</xdr:col>
      <xdr:colOff>161925</xdr:colOff>
      <xdr:row>33</xdr:row>
      <xdr:rowOff>171450</xdr:rowOff>
    </xdr:to>
    <xdr:sp macro="" textlink="">
      <xdr:nvSpPr>
        <xdr:cNvPr id="125" name="Right Triangle 124"/>
        <xdr:cNvSpPr/>
      </xdr:nvSpPr>
      <xdr:spPr>
        <a:xfrm rot="5400000">
          <a:off x="6419850" y="98774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xdr:colOff>
      <xdr:row>17</xdr:row>
      <xdr:rowOff>19050</xdr:rowOff>
    </xdr:from>
    <xdr:to>
      <xdr:col>13</xdr:col>
      <xdr:colOff>161925</xdr:colOff>
      <xdr:row>17</xdr:row>
      <xdr:rowOff>180975</xdr:rowOff>
    </xdr:to>
    <xdr:sp macro="" textlink="">
      <xdr:nvSpPr>
        <xdr:cNvPr id="128" name="Right Triangle 127"/>
        <xdr:cNvSpPr/>
      </xdr:nvSpPr>
      <xdr:spPr>
        <a:xfrm rot="5400000">
          <a:off x="4286250" y="52197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28575</xdr:colOff>
      <xdr:row>32</xdr:row>
      <xdr:rowOff>19050</xdr:rowOff>
    </xdr:from>
    <xdr:to>
      <xdr:col>20</xdr:col>
      <xdr:colOff>171450</xdr:colOff>
      <xdr:row>32</xdr:row>
      <xdr:rowOff>180975</xdr:rowOff>
    </xdr:to>
    <xdr:sp macro="" textlink="">
      <xdr:nvSpPr>
        <xdr:cNvPr id="129" name="Right Triangle 128"/>
        <xdr:cNvSpPr/>
      </xdr:nvSpPr>
      <xdr:spPr>
        <a:xfrm rot="5400000">
          <a:off x="6429375" y="95821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xdr:colOff>
      <xdr:row>34</xdr:row>
      <xdr:rowOff>9525</xdr:rowOff>
    </xdr:from>
    <xdr:to>
      <xdr:col>12</xdr:col>
      <xdr:colOff>161925</xdr:colOff>
      <xdr:row>34</xdr:row>
      <xdr:rowOff>171450</xdr:rowOff>
    </xdr:to>
    <xdr:sp macro="" textlink="">
      <xdr:nvSpPr>
        <xdr:cNvPr id="134" name="Right Triangle 133"/>
        <xdr:cNvSpPr/>
      </xdr:nvSpPr>
      <xdr:spPr>
        <a:xfrm rot="5400000">
          <a:off x="3971925" y="101822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19050</xdr:colOff>
      <xdr:row>33</xdr:row>
      <xdr:rowOff>9525</xdr:rowOff>
    </xdr:from>
    <xdr:to>
      <xdr:col>12</xdr:col>
      <xdr:colOff>161925</xdr:colOff>
      <xdr:row>33</xdr:row>
      <xdr:rowOff>171450</xdr:rowOff>
    </xdr:to>
    <xdr:sp macro="" textlink="">
      <xdr:nvSpPr>
        <xdr:cNvPr id="135" name="Right Triangle 134"/>
        <xdr:cNvSpPr/>
      </xdr:nvSpPr>
      <xdr:spPr>
        <a:xfrm rot="5400000">
          <a:off x="3971925" y="98774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9525</xdr:colOff>
      <xdr:row>32</xdr:row>
      <xdr:rowOff>0</xdr:rowOff>
    </xdr:from>
    <xdr:to>
      <xdr:col>12</xdr:col>
      <xdr:colOff>152400</xdr:colOff>
      <xdr:row>32</xdr:row>
      <xdr:rowOff>161925</xdr:rowOff>
    </xdr:to>
    <xdr:sp macro="" textlink="">
      <xdr:nvSpPr>
        <xdr:cNvPr id="136" name="Right Triangle 135"/>
        <xdr:cNvSpPr/>
      </xdr:nvSpPr>
      <xdr:spPr>
        <a:xfrm rot="5400000">
          <a:off x="3962400" y="95631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35</xdr:row>
      <xdr:rowOff>19050</xdr:rowOff>
    </xdr:from>
    <xdr:to>
      <xdr:col>4</xdr:col>
      <xdr:colOff>161925</xdr:colOff>
      <xdr:row>35</xdr:row>
      <xdr:rowOff>180975</xdr:rowOff>
    </xdr:to>
    <xdr:sp macro="" textlink="">
      <xdr:nvSpPr>
        <xdr:cNvPr id="138" name="Right Triangle 137"/>
        <xdr:cNvSpPr/>
      </xdr:nvSpPr>
      <xdr:spPr>
        <a:xfrm rot="5400000">
          <a:off x="1524000" y="104965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34</xdr:row>
      <xdr:rowOff>28575</xdr:rowOff>
    </xdr:from>
    <xdr:to>
      <xdr:col>4</xdr:col>
      <xdr:colOff>161925</xdr:colOff>
      <xdr:row>34</xdr:row>
      <xdr:rowOff>190500</xdr:rowOff>
    </xdr:to>
    <xdr:sp macro="" textlink="">
      <xdr:nvSpPr>
        <xdr:cNvPr id="139" name="Right Triangle 138"/>
        <xdr:cNvSpPr/>
      </xdr:nvSpPr>
      <xdr:spPr>
        <a:xfrm rot="5400000">
          <a:off x="1524000" y="102012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32</xdr:row>
      <xdr:rowOff>0</xdr:rowOff>
    </xdr:from>
    <xdr:to>
      <xdr:col>4</xdr:col>
      <xdr:colOff>161925</xdr:colOff>
      <xdr:row>32</xdr:row>
      <xdr:rowOff>161925</xdr:rowOff>
    </xdr:to>
    <xdr:sp macro="" textlink="">
      <xdr:nvSpPr>
        <xdr:cNvPr id="140" name="Right Triangle 139"/>
        <xdr:cNvSpPr/>
      </xdr:nvSpPr>
      <xdr:spPr>
        <a:xfrm rot="5400000">
          <a:off x="1524000" y="95631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33</xdr:row>
      <xdr:rowOff>28575</xdr:rowOff>
    </xdr:from>
    <xdr:to>
      <xdr:col>4</xdr:col>
      <xdr:colOff>142875</xdr:colOff>
      <xdr:row>33</xdr:row>
      <xdr:rowOff>190500</xdr:rowOff>
    </xdr:to>
    <xdr:sp macro="" textlink="">
      <xdr:nvSpPr>
        <xdr:cNvPr id="141" name="Right Triangle 140"/>
        <xdr:cNvSpPr/>
      </xdr:nvSpPr>
      <xdr:spPr>
        <a:xfrm rot="5400000">
          <a:off x="1504950" y="98964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190500</xdr:colOff>
      <xdr:row>38</xdr:row>
      <xdr:rowOff>142875</xdr:rowOff>
    </xdr:from>
    <xdr:to>
      <xdr:col>19</xdr:col>
      <xdr:colOff>19050</xdr:colOff>
      <xdr:row>39</xdr:row>
      <xdr:rowOff>142875</xdr:rowOff>
    </xdr:to>
    <xdr:sp macro="" textlink="">
      <xdr:nvSpPr>
        <xdr:cNvPr id="95" name="Right Triangle 94"/>
        <xdr:cNvSpPr/>
      </xdr:nvSpPr>
      <xdr:spPr>
        <a:xfrm rot="5400000">
          <a:off x="5962650" y="113919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8</xdr:row>
      <xdr:rowOff>19050</xdr:rowOff>
    </xdr:from>
    <xdr:to>
      <xdr:col>4</xdr:col>
      <xdr:colOff>161925</xdr:colOff>
      <xdr:row>8</xdr:row>
      <xdr:rowOff>180975</xdr:rowOff>
    </xdr:to>
    <xdr:sp macro="" textlink="">
      <xdr:nvSpPr>
        <xdr:cNvPr id="59" name="Right Triangle 58"/>
        <xdr:cNvSpPr/>
      </xdr:nvSpPr>
      <xdr:spPr>
        <a:xfrm rot="5400000">
          <a:off x="1524000" y="26860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0</xdr:colOff>
      <xdr:row>33</xdr:row>
      <xdr:rowOff>0</xdr:rowOff>
    </xdr:from>
    <xdr:to>
      <xdr:col>3</xdr:col>
      <xdr:colOff>222549</xdr:colOff>
      <xdr:row>33</xdr:row>
      <xdr:rowOff>180975</xdr:rowOff>
    </xdr:to>
    <xdr:pic>
      <xdr:nvPicPr>
        <xdr:cNvPr id="81" name="Picture 80"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98583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32</xdr:row>
      <xdr:rowOff>0</xdr:rowOff>
    </xdr:from>
    <xdr:to>
      <xdr:col>11</xdr:col>
      <xdr:colOff>222549</xdr:colOff>
      <xdr:row>32</xdr:row>
      <xdr:rowOff>180975</xdr:rowOff>
    </xdr:to>
    <xdr:pic>
      <xdr:nvPicPr>
        <xdr:cNvPr id="85" name="Picture 84"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95535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38</xdr:row>
      <xdr:rowOff>123825</xdr:rowOff>
    </xdr:from>
    <xdr:to>
      <xdr:col>9</xdr:col>
      <xdr:colOff>60624</xdr:colOff>
      <xdr:row>39</xdr:row>
      <xdr:rowOff>142875</xdr:rowOff>
    </xdr:to>
    <xdr:pic>
      <xdr:nvPicPr>
        <xdr:cNvPr id="94" name="Picture 93"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1136332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222549</xdr:colOff>
      <xdr:row>35</xdr:row>
      <xdr:rowOff>180975</xdr:rowOff>
    </xdr:to>
    <xdr:pic>
      <xdr:nvPicPr>
        <xdr:cNvPr id="97" name="Picture 96"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104679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9525</xdr:colOff>
      <xdr:row>14</xdr:row>
      <xdr:rowOff>9525</xdr:rowOff>
    </xdr:from>
    <xdr:to>
      <xdr:col>20</xdr:col>
      <xdr:colOff>152400</xdr:colOff>
      <xdr:row>14</xdr:row>
      <xdr:rowOff>171450</xdr:rowOff>
    </xdr:to>
    <xdr:sp macro="" textlink="">
      <xdr:nvSpPr>
        <xdr:cNvPr id="64" name="Right Triangle 63"/>
        <xdr:cNvSpPr/>
      </xdr:nvSpPr>
      <xdr:spPr>
        <a:xfrm rot="5400000">
          <a:off x="6410325" y="429577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24</xdr:row>
      <xdr:rowOff>9525</xdr:rowOff>
    </xdr:from>
    <xdr:to>
      <xdr:col>20</xdr:col>
      <xdr:colOff>152400</xdr:colOff>
      <xdr:row>24</xdr:row>
      <xdr:rowOff>171450</xdr:rowOff>
    </xdr:to>
    <xdr:sp macro="" textlink="">
      <xdr:nvSpPr>
        <xdr:cNvPr id="68" name="Right Triangle 67"/>
        <xdr:cNvSpPr/>
      </xdr:nvSpPr>
      <xdr:spPr>
        <a:xfrm rot="5400000">
          <a:off x="6410325" y="7134225"/>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0</xdr:colOff>
      <xdr:row>34</xdr:row>
      <xdr:rowOff>0</xdr:rowOff>
    </xdr:from>
    <xdr:to>
      <xdr:col>3</xdr:col>
      <xdr:colOff>222549</xdr:colOff>
      <xdr:row>34</xdr:row>
      <xdr:rowOff>180975</xdr:rowOff>
    </xdr:to>
    <xdr:pic>
      <xdr:nvPicPr>
        <xdr:cNvPr id="61" name="Picture 60"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101631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23</xdr:row>
      <xdr:rowOff>0</xdr:rowOff>
    </xdr:from>
    <xdr:to>
      <xdr:col>4</xdr:col>
      <xdr:colOff>171450</xdr:colOff>
      <xdr:row>23</xdr:row>
      <xdr:rowOff>161925</xdr:rowOff>
    </xdr:to>
    <xdr:sp macro="" textlink="">
      <xdr:nvSpPr>
        <xdr:cNvPr id="75" name="Right Triangle 74"/>
        <xdr:cNvSpPr/>
      </xdr:nvSpPr>
      <xdr:spPr>
        <a:xfrm rot="5400000">
          <a:off x="1533525" y="68199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0</xdr:colOff>
      <xdr:row>33</xdr:row>
      <xdr:rowOff>0</xdr:rowOff>
    </xdr:from>
    <xdr:to>
      <xdr:col>11</xdr:col>
      <xdr:colOff>222549</xdr:colOff>
      <xdr:row>33</xdr:row>
      <xdr:rowOff>180975</xdr:rowOff>
    </xdr:to>
    <xdr:pic>
      <xdr:nvPicPr>
        <xdr:cNvPr id="78" name="Picture 77"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98583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304801</xdr:colOff>
      <xdr:row>46</xdr:row>
      <xdr:rowOff>114300</xdr:rowOff>
    </xdr:from>
    <xdr:to>
      <xdr:col>6</xdr:col>
      <xdr:colOff>247650</xdr:colOff>
      <xdr:row>48</xdr:row>
      <xdr:rowOff>47624</xdr:rowOff>
    </xdr:to>
    <xdr:pic>
      <xdr:nvPicPr>
        <xdr:cNvPr id="79" name="Picture 78" descr="C:\Users\gilchels\AppData\Local\Microsoft\Windows\Temporary Internet Files\Content.IE5\F2L0AWUC\Singapore_Road_Signs_-_Restrictive_Sign_-_No_Parking.svg[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3601" y="12487275"/>
          <a:ext cx="257174" cy="257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66675</xdr:colOff>
      <xdr:row>32</xdr:row>
      <xdr:rowOff>9525</xdr:rowOff>
    </xdr:from>
    <xdr:to>
      <xdr:col>4</xdr:col>
      <xdr:colOff>289224</xdr:colOff>
      <xdr:row>32</xdr:row>
      <xdr:rowOff>190500</xdr:rowOff>
    </xdr:to>
    <xdr:pic>
      <xdr:nvPicPr>
        <xdr:cNvPr id="99" name="Picture 98"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9563100"/>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26</xdr:row>
      <xdr:rowOff>0</xdr:rowOff>
    </xdr:from>
    <xdr:to>
      <xdr:col>19</xdr:col>
      <xdr:colOff>222549</xdr:colOff>
      <xdr:row>26</xdr:row>
      <xdr:rowOff>180975</xdr:rowOff>
    </xdr:to>
    <xdr:pic>
      <xdr:nvPicPr>
        <xdr:cNvPr id="101" name="Picture 100"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77247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0</xdr:colOff>
      <xdr:row>23</xdr:row>
      <xdr:rowOff>0</xdr:rowOff>
    </xdr:from>
    <xdr:to>
      <xdr:col>20</xdr:col>
      <xdr:colOff>142875</xdr:colOff>
      <xdr:row>23</xdr:row>
      <xdr:rowOff>161925</xdr:rowOff>
    </xdr:to>
    <xdr:sp macro="" textlink="">
      <xdr:nvSpPr>
        <xdr:cNvPr id="89" name="Right Triangle 88"/>
        <xdr:cNvSpPr/>
      </xdr:nvSpPr>
      <xdr:spPr>
        <a:xfrm rot="5400000">
          <a:off x="6400800" y="68199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35</xdr:row>
      <xdr:rowOff>0</xdr:rowOff>
    </xdr:from>
    <xdr:to>
      <xdr:col>20</xdr:col>
      <xdr:colOff>152400</xdr:colOff>
      <xdr:row>35</xdr:row>
      <xdr:rowOff>161925</xdr:rowOff>
    </xdr:to>
    <xdr:sp macro="" textlink="">
      <xdr:nvSpPr>
        <xdr:cNvPr id="100" name="Right Triangle 99"/>
        <xdr:cNvSpPr/>
      </xdr:nvSpPr>
      <xdr:spPr>
        <a:xfrm rot="5400000">
          <a:off x="6410325" y="104775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31</xdr:row>
      <xdr:rowOff>0</xdr:rowOff>
    </xdr:from>
    <xdr:to>
      <xdr:col>20</xdr:col>
      <xdr:colOff>142875</xdr:colOff>
      <xdr:row>31</xdr:row>
      <xdr:rowOff>161925</xdr:rowOff>
    </xdr:to>
    <xdr:sp macro="" textlink="">
      <xdr:nvSpPr>
        <xdr:cNvPr id="103" name="Right Triangle 102"/>
        <xdr:cNvSpPr/>
      </xdr:nvSpPr>
      <xdr:spPr>
        <a:xfrm rot="5400000">
          <a:off x="6400800" y="92583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4</xdr:row>
      <xdr:rowOff>0</xdr:rowOff>
    </xdr:from>
    <xdr:to>
      <xdr:col>20</xdr:col>
      <xdr:colOff>142875</xdr:colOff>
      <xdr:row>4</xdr:row>
      <xdr:rowOff>161925</xdr:rowOff>
    </xdr:to>
    <xdr:sp macro="" textlink="">
      <xdr:nvSpPr>
        <xdr:cNvPr id="82" name="Right Triangle 81"/>
        <xdr:cNvSpPr/>
      </xdr:nvSpPr>
      <xdr:spPr>
        <a:xfrm rot="5400000">
          <a:off x="6400800" y="14478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13</xdr:row>
      <xdr:rowOff>0</xdr:rowOff>
    </xdr:from>
    <xdr:to>
      <xdr:col>20</xdr:col>
      <xdr:colOff>142875</xdr:colOff>
      <xdr:row>13</xdr:row>
      <xdr:rowOff>161925</xdr:rowOff>
    </xdr:to>
    <xdr:sp macro="" textlink="">
      <xdr:nvSpPr>
        <xdr:cNvPr id="106" name="Right Triangle 105"/>
        <xdr:cNvSpPr/>
      </xdr:nvSpPr>
      <xdr:spPr>
        <a:xfrm rot="5400000">
          <a:off x="6400800" y="398145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22</xdr:row>
      <xdr:rowOff>0</xdr:rowOff>
    </xdr:from>
    <xdr:to>
      <xdr:col>20</xdr:col>
      <xdr:colOff>142875</xdr:colOff>
      <xdr:row>22</xdr:row>
      <xdr:rowOff>161925</xdr:rowOff>
    </xdr:to>
    <xdr:sp macro="" textlink="">
      <xdr:nvSpPr>
        <xdr:cNvPr id="108" name="Right Triangle 107"/>
        <xdr:cNvSpPr/>
      </xdr:nvSpPr>
      <xdr:spPr>
        <a:xfrm rot="5400000">
          <a:off x="6400800" y="65151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31</xdr:row>
      <xdr:rowOff>0</xdr:rowOff>
    </xdr:from>
    <xdr:to>
      <xdr:col>12</xdr:col>
      <xdr:colOff>142875</xdr:colOff>
      <xdr:row>31</xdr:row>
      <xdr:rowOff>161925</xdr:rowOff>
    </xdr:to>
    <xdr:sp macro="" textlink="">
      <xdr:nvSpPr>
        <xdr:cNvPr id="110" name="Right Triangle 109"/>
        <xdr:cNvSpPr/>
      </xdr:nvSpPr>
      <xdr:spPr>
        <a:xfrm rot="5400000">
          <a:off x="3952875" y="92583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26</xdr:row>
      <xdr:rowOff>0</xdr:rowOff>
    </xdr:from>
    <xdr:to>
      <xdr:col>20</xdr:col>
      <xdr:colOff>142875</xdr:colOff>
      <xdr:row>26</xdr:row>
      <xdr:rowOff>161925</xdr:rowOff>
    </xdr:to>
    <xdr:sp macro="" textlink="">
      <xdr:nvSpPr>
        <xdr:cNvPr id="111" name="Right Triangle 110"/>
        <xdr:cNvSpPr/>
      </xdr:nvSpPr>
      <xdr:spPr>
        <a:xfrm rot="5400000">
          <a:off x="6400800" y="7734300"/>
          <a:ext cx="161925" cy="142875"/>
        </a:xfrm>
        <a:prstGeom prst="rtTriangl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11</xdr:col>
      <xdr:colOff>0</xdr:colOff>
      <xdr:row>31</xdr:row>
      <xdr:rowOff>0</xdr:rowOff>
    </xdr:from>
    <xdr:to>
      <xdr:col>11</xdr:col>
      <xdr:colOff>222549</xdr:colOff>
      <xdr:row>31</xdr:row>
      <xdr:rowOff>180975</xdr:rowOff>
    </xdr:to>
    <xdr:pic>
      <xdr:nvPicPr>
        <xdr:cNvPr id="87" name="Picture 86" descr="C:\Users\gilbeth\AppData\Local\Microsoft\Windows\Temporary Internet Files\Content.IE5\JLAUFIPQ\Leaf-5[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9248775"/>
          <a:ext cx="22254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28576</xdr:colOff>
      <xdr:row>16</xdr:row>
      <xdr:rowOff>9526</xdr:rowOff>
    </xdr:from>
    <xdr:to>
      <xdr:col>24</xdr:col>
      <xdr:colOff>219076</xdr:colOff>
      <xdr:row>16</xdr:row>
      <xdr:rowOff>200026</xdr:rowOff>
    </xdr:to>
    <xdr:pic>
      <xdr:nvPicPr>
        <xdr:cNvPr id="112" name="Picture 11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1" y="4895851"/>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15</xdr:row>
      <xdr:rowOff>9525</xdr:rowOff>
    </xdr:from>
    <xdr:to>
      <xdr:col>24</xdr:col>
      <xdr:colOff>219075</xdr:colOff>
      <xdr:row>15</xdr:row>
      <xdr:rowOff>200025</xdr:rowOff>
    </xdr:to>
    <xdr:pic>
      <xdr:nvPicPr>
        <xdr:cNvPr id="115" name="Picture 114"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45910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14</xdr:row>
      <xdr:rowOff>19050</xdr:rowOff>
    </xdr:from>
    <xdr:to>
      <xdr:col>24</xdr:col>
      <xdr:colOff>219075</xdr:colOff>
      <xdr:row>14</xdr:row>
      <xdr:rowOff>209550</xdr:rowOff>
    </xdr:to>
    <xdr:pic>
      <xdr:nvPicPr>
        <xdr:cNvPr id="116" name="Picture 115"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42957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xdr:colOff>
      <xdr:row>13</xdr:row>
      <xdr:rowOff>28575</xdr:rowOff>
    </xdr:from>
    <xdr:to>
      <xdr:col>24</xdr:col>
      <xdr:colOff>209550</xdr:colOff>
      <xdr:row>13</xdr:row>
      <xdr:rowOff>219075</xdr:rowOff>
    </xdr:to>
    <xdr:pic>
      <xdr:nvPicPr>
        <xdr:cNvPr id="117" name="Picture 11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86675" y="4000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10</xdr:col>
      <xdr:colOff>209550</xdr:colOff>
      <xdr:row>31</xdr:row>
      <xdr:rowOff>209550</xdr:rowOff>
    </xdr:to>
    <xdr:pic>
      <xdr:nvPicPr>
        <xdr:cNvPr id="118" name="Picture 117" descr="C:\Users\gilchels\AppData\Local\Microsoft\Windows\Temporary Internet Files\Content.IE5\F2L0AWUC\Singapore_Road_Signs_-_Restrictive_Sign_-_No_Parking.svg[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0" y="9248775"/>
          <a:ext cx="2095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22</xdr:row>
      <xdr:rowOff>19050</xdr:rowOff>
    </xdr:from>
    <xdr:to>
      <xdr:col>24</xdr:col>
      <xdr:colOff>219075</xdr:colOff>
      <xdr:row>22</xdr:row>
      <xdr:rowOff>209550</xdr:rowOff>
    </xdr:to>
    <xdr:pic>
      <xdr:nvPicPr>
        <xdr:cNvPr id="120" name="Picture 119"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65246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23</xdr:row>
      <xdr:rowOff>19050</xdr:rowOff>
    </xdr:from>
    <xdr:to>
      <xdr:col>24</xdr:col>
      <xdr:colOff>219075</xdr:colOff>
      <xdr:row>23</xdr:row>
      <xdr:rowOff>209550</xdr:rowOff>
    </xdr:to>
    <xdr:pic>
      <xdr:nvPicPr>
        <xdr:cNvPr id="121" name="Picture 120"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68294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24</xdr:row>
      <xdr:rowOff>9525</xdr:rowOff>
    </xdr:from>
    <xdr:to>
      <xdr:col>24</xdr:col>
      <xdr:colOff>219075</xdr:colOff>
      <xdr:row>24</xdr:row>
      <xdr:rowOff>200025</xdr:rowOff>
    </xdr:to>
    <xdr:pic>
      <xdr:nvPicPr>
        <xdr:cNvPr id="122" name="Picture 12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71247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25</xdr:row>
      <xdr:rowOff>9525</xdr:rowOff>
    </xdr:from>
    <xdr:to>
      <xdr:col>24</xdr:col>
      <xdr:colOff>219075</xdr:colOff>
      <xdr:row>25</xdr:row>
      <xdr:rowOff>200025</xdr:rowOff>
    </xdr:to>
    <xdr:pic>
      <xdr:nvPicPr>
        <xdr:cNvPr id="123" name="Picture 122"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74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28575</xdr:colOff>
      <xdr:row>13</xdr:row>
      <xdr:rowOff>38100</xdr:rowOff>
    </xdr:from>
    <xdr:to>
      <xdr:col>16</xdr:col>
      <xdr:colOff>219075</xdr:colOff>
      <xdr:row>13</xdr:row>
      <xdr:rowOff>228600</xdr:rowOff>
    </xdr:to>
    <xdr:pic>
      <xdr:nvPicPr>
        <xdr:cNvPr id="126" name="Picture 125"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275" y="40100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14</xdr:row>
      <xdr:rowOff>9525</xdr:rowOff>
    </xdr:from>
    <xdr:to>
      <xdr:col>16</xdr:col>
      <xdr:colOff>209550</xdr:colOff>
      <xdr:row>14</xdr:row>
      <xdr:rowOff>200025</xdr:rowOff>
    </xdr:to>
    <xdr:pic>
      <xdr:nvPicPr>
        <xdr:cNvPr id="127" name="Picture 12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42862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xdr:colOff>
      <xdr:row>15</xdr:row>
      <xdr:rowOff>9525</xdr:rowOff>
    </xdr:from>
    <xdr:to>
      <xdr:col>16</xdr:col>
      <xdr:colOff>200025</xdr:colOff>
      <xdr:row>15</xdr:row>
      <xdr:rowOff>200025</xdr:rowOff>
    </xdr:to>
    <xdr:pic>
      <xdr:nvPicPr>
        <xdr:cNvPr id="130" name="Picture 129"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29225" y="45910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xdr:colOff>
      <xdr:row>16</xdr:row>
      <xdr:rowOff>19050</xdr:rowOff>
    </xdr:from>
    <xdr:to>
      <xdr:col>16</xdr:col>
      <xdr:colOff>190500</xdr:colOff>
      <xdr:row>16</xdr:row>
      <xdr:rowOff>200025</xdr:rowOff>
    </xdr:to>
    <xdr:pic>
      <xdr:nvPicPr>
        <xdr:cNvPr id="131" name="Picture 130" descr="C:\Users\gilchels\AppData\Local\Microsoft\Windows\Temporary Internet Files\Content.IE5\F2L0AWUC\recycle[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9225" y="4905375"/>
          <a:ext cx="180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17</xdr:row>
      <xdr:rowOff>9525</xdr:rowOff>
    </xdr:from>
    <xdr:to>
      <xdr:col>16</xdr:col>
      <xdr:colOff>209550</xdr:colOff>
      <xdr:row>17</xdr:row>
      <xdr:rowOff>200025</xdr:rowOff>
    </xdr:to>
    <xdr:pic>
      <xdr:nvPicPr>
        <xdr:cNvPr id="132" name="Picture 13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52006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23</xdr:row>
      <xdr:rowOff>19050</xdr:rowOff>
    </xdr:from>
    <xdr:to>
      <xdr:col>8</xdr:col>
      <xdr:colOff>228600</xdr:colOff>
      <xdr:row>23</xdr:row>
      <xdr:rowOff>209550</xdr:rowOff>
    </xdr:to>
    <xdr:pic>
      <xdr:nvPicPr>
        <xdr:cNvPr id="137" name="Picture 13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5" y="68294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24</xdr:row>
      <xdr:rowOff>19050</xdr:rowOff>
    </xdr:from>
    <xdr:to>
      <xdr:col>8</xdr:col>
      <xdr:colOff>228600</xdr:colOff>
      <xdr:row>24</xdr:row>
      <xdr:rowOff>209550</xdr:rowOff>
    </xdr:to>
    <xdr:pic>
      <xdr:nvPicPr>
        <xdr:cNvPr id="142" name="Picture 14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5" y="71342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25</xdr:row>
      <xdr:rowOff>19050</xdr:rowOff>
    </xdr:from>
    <xdr:to>
      <xdr:col>8</xdr:col>
      <xdr:colOff>200025</xdr:colOff>
      <xdr:row>25</xdr:row>
      <xdr:rowOff>200025</xdr:rowOff>
    </xdr:to>
    <xdr:pic>
      <xdr:nvPicPr>
        <xdr:cNvPr id="143" name="Picture 142" descr="C:\Users\gilchels\AppData\Local\Microsoft\Windows\Temporary Internet Files\Content.IE5\F2L0AWUC\recycle[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90825" y="7439025"/>
          <a:ext cx="1809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22</xdr:row>
      <xdr:rowOff>28575</xdr:rowOff>
    </xdr:from>
    <xdr:to>
      <xdr:col>16</xdr:col>
      <xdr:colOff>209550</xdr:colOff>
      <xdr:row>22</xdr:row>
      <xdr:rowOff>219075</xdr:rowOff>
    </xdr:to>
    <xdr:pic>
      <xdr:nvPicPr>
        <xdr:cNvPr id="144" name="Picture 143"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65341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23</xdr:row>
      <xdr:rowOff>47625</xdr:rowOff>
    </xdr:from>
    <xdr:to>
      <xdr:col>16</xdr:col>
      <xdr:colOff>209550</xdr:colOff>
      <xdr:row>23</xdr:row>
      <xdr:rowOff>238125</xdr:rowOff>
    </xdr:to>
    <xdr:pic>
      <xdr:nvPicPr>
        <xdr:cNvPr id="145" name="Picture 144"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685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24</xdr:row>
      <xdr:rowOff>19050</xdr:rowOff>
    </xdr:from>
    <xdr:to>
      <xdr:col>16</xdr:col>
      <xdr:colOff>209550</xdr:colOff>
      <xdr:row>24</xdr:row>
      <xdr:rowOff>209550</xdr:rowOff>
    </xdr:to>
    <xdr:pic>
      <xdr:nvPicPr>
        <xdr:cNvPr id="146" name="Picture 145"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71342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xdr:colOff>
      <xdr:row>25</xdr:row>
      <xdr:rowOff>9525</xdr:rowOff>
    </xdr:from>
    <xdr:to>
      <xdr:col>16</xdr:col>
      <xdr:colOff>200025</xdr:colOff>
      <xdr:row>25</xdr:row>
      <xdr:rowOff>200025</xdr:rowOff>
    </xdr:to>
    <xdr:pic>
      <xdr:nvPicPr>
        <xdr:cNvPr id="147" name="Picture 14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29225" y="7429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38100</xdr:colOff>
      <xdr:row>26</xdr:row>
      <xdr:rowOff>9525</xdr:rowOff>
    </xdr:from>
    <xdr:to>
      <xdr:col>16</xdr:col>
      <xdr:colOff>228600</xdr:colOff>
      <xdr:row>26</xdr:row>
      <xdr:rowOff>200025</xdr:rowOff>
    </xdr:to>
    <xdr:pic>
      <xdr:nvPicPr>
        <xdr:cNvPr id="148" name="Picture 147"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57800" y="77343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4</xdr:row>
      <xdr:rowOff>19050</xdr:rowOff>
    </xdr:from>
    <xdr:to>
      <xdr:col>8</xdr:col>
      <xdr:colOff>228600</xdr:colOff>
      <xdr:row>4</xdr:row>
      <xdr:rowOff>209550</xdr:rowOff>
    </xdr:to>
    <xdr:pic>
      <xdr:nvPicPr>
        <xdr:cNvPr id="149" name="Picture 148"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5" y="14573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6</xdr:row>
      <xdr:rowOff>9525</xdr:rowOff>
    </xdr:from>
    <xdr:to>
      <xdr:col>8</xdr:col>
      <xdr:colOff>209550</xdr:colOff>
      <xdr:row>6</xdr:row>
      <xdr:rowOff>200025</xdr:rowOff>
    </xdr:to>
    <xdr:pic>
      <xdr:nvPicPr>
        <xdr:cNvPr id="150" name="Picture 149"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90825" y="2057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4</xdr:row>
      <xdr:rowOff>28575</xdr:rowOff>
    </xdr:from>
    <xdr:to>
      <xdr:col>16</xdr:col>
      <xdr:colOff>209550</xdr:colOff>
      <xdr:row>4</xdr:row>
      <xdr:rowOff>219075</xdr:rowOff>
    </xdr:to>
    <xdr:pic>
      <xdr:nvPicPr>
        <xdr:cNvPr id="151" name="Picture 150"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0" y="14668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28575</xdr:colOff>
      <xdr:row>6</xdr:row>
      <xdr:rowOff>9525</xdr:rowOff>
    </xdr:from>
    <xdr:to>
      <xdr:col>16</xdr:col>
      <xdr:colOff>219075</xdr:colOff>
      <xdr:row>6</xdr:row>
      <xdr:rowOff>200025</xdr:rowOff>
    </xdr:to>
    <xdr:pic>
      <xdr:nvPicPr>
        <xdr:cNvPr id="152" name="Picture 15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275" y="2057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xdr:colOff>
      <xdr:row>4</xdr:row>
      <xdr:rowOff>28575</xdr:rowOff>
    </xdr:from>
    <xdr:to>
      <xdr:col>24</xdr:col>
      <xdr:colOff>209550</xdr:colOff>
      <xdr:row>4</xdr:row>
      <xdr:rowOff>219075</xdr:rowOff>
    </xdr:to>
    <xdr:pic>
      <xdr:nvPicPr>
        <xdr:cNvPr id="153" name="Picture 152"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86675" y="14668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28575</xdr:colOff>
      <xdr:row>6</xdr:row>
      <xdr:rowOff>9525</xdr:rowOff>
    </xdr:from>
    <xdr:to>
      <xdr:col>24</xdr:col>
      <xdr:colOff>219075</xdr:colOff>
      <xdr:row>6</xdr:row>
      <xdr:rowOff>200025</xdr:rowOff>
    </xdr:to>
    <xdr:pic>
      <xdr:nvPicPr>
        <xdr:cNvPr id="154" name="Picture 153"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96200" y="2057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13</xdr:row>
      <xdr:rowOff>19050</xdr:rowOff>
    </xdr:from>
    <xdr:to>
      <xdr:col>8</xdr:col>
      <xdr:colOff>209550</xdr:colOff>
      <xdr:row>13</xdr:row>
      <xdr:rowOff>209550</xdr:rowOff>
    </xdr:to>
    <xdr:pic>
      <xdr:nvPicPr>
        <xdr:cNvPr id="155" name="Picture 154"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90825" y="399097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xdr:colOff>
      <xdr:row>15</xdr:row>
      <xdr:rowOff>9525</xdr:rowOff>
    </xdr:from>
    <xdr:to>
      <xdr:col>8</xdr:col>
      <xdr:colOff>228600</xdr:colOff>
      <xdr:row>15</xdr:row>
      <xdr:rowOff>200025</xdr:rowOff>
    </xdr:to>
    <xdr:pic>
      <xdr:nvPicPr>
        <xdr:cNvPr id="156" name="Picture 155"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9875" y="45910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xdr:colOff>
      <xdr:row>31</xdr:row>
      <xdr:rowOff>19050</xdr:rowOff>
    </xdr:from>
    <xdr:to>
      <xdr:col>8</xdr:col>
      <xdr:colOff>200025</xdr:colOff>
      <xdr:row>31</xdr:row>
      <xdr:rowOff>209550</xdr:rowOff>
    </xdr:to>
    <xdr:pic>
      <xdr:nvPicPr>
        <xdr:cNvPr id="157" name="Picture 15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81300" y="92678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32</xdr:row>
      <xdr:rowOff>19050</xdr:rowOff>
    </xdr:from>
    <xdr:to>
      <xdr:col>8</xdr:col>
      <xdr:colOff>219075</xdr:colOff>
      <xdr:row>32</xdr:row>
      <xdr:rowOff>209550</xdr:rowOff>
    </xdr:to>
    <xdr:pic>
      <xdr:nvPicPr>
        <xdr:cNvPr id="158" name="Picture 157"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0350" y="95726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33</xdr:row>
      <xdr:rowOff>9525</xdr:rowOff>
    </xdr:from>
    <xdr:to>
      <xdr:col>8</xdr:col>
      <xdr:colOff>219075</xdr:colOff>
      <xdr:row>33</xdr:row>
      <xdr:rowOff>200025</xdr:rowOff>
    </xdr:to>
    <xdr:pic>
      <xdr:nvPicPr>
        <xdr:cNvPr id="159" name="Picture 158"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0350" y="98679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xdr:colOff>
      <xdr:row>34</xdr:row>
      <xdr:rowOff>9525</xdr:rowOff>
    </xdr:from>
    <xdr:to>
      <xdr:col>8</xdr:col>
      <xdr:colOff>209550</xdr:colOff>
      <xdr:row>34</xdr:row>
      <xdr:rowOff>200025</xdr:rowOff>
    </xdr:to>
    <xdr:pic>
      <xdr:nvPicPr>
        <xdr:cNvPr id="160" name="Picture 159"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90825" y="101727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35</xdr:row>
      <xdr:rowOff>9525</xdr:rowOff>
    </xdr:from>
    <xdr:to>
      <xdr:col>8</xdr:col>
      <xdr:colOff>219075</xdr:colOff>
      <xdr:row>35</xdr:row>
      <xdr:rowOff>200025</xdr:rowOff>
    </xdr:to>
    <xdr:pic>
      <xdr:nvPicPr>
        <xdr:cNvPr id="161" name="Picture 160"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0350" y="104775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xdr:colOff>
      <xdr:row>31</xdr:row>
      <xdr:rowOff>9525</xdr:rowOff>
    </xdr:from>
    <xdr:to>
      <xdr:col>16</xdr:col>
      <xdr:colOff>200025</xdr:colOff>
      <xdr:row>31</xdr:row>
      <xdr:rowOff>200025</xdr:rowOff>
    </xdr:to>
    <xdr:pic>
      <xdr:nvPicPr>
        <xdr:cNvPr id="162" name="Picture 161"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29225" y="92583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9525</xdr:colOff>
      <xdr:row>33</xdr:row>
      <xdr:rowOff>9525</xdr:rowOff>
    </xdr:from>
    <xdr:to>
      <xdr:col>16</xdr:col>
      <xdr:colOff>200025</xdr:colOff>
      <xdr:row>33</xdr:row>
      <xdr:rowOff>200025</xdr:rowOff>
    </xdr:to>
    <xdr:pic>
      <xdr:nvPicPr>
        <xdr:cNvPr id="163" name="Picture 162"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29225" y="98679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9525</xdr:colOff>
      <xdr:row>31</xdr:row>
      <xdr:rowOff>19050</xdr:rowOff>
    </xdr:from>
    <xdr:to>
      <xdr:col>24</xdr:col>
      <xdr:colOff>200025</xdr:colOff>
      <xdr:row>31</xdr:row>
      <xdr:rowOff>209550</xdr:rowOff>
    </xdr:to>
    <xdr:pic>
      <xdr:nvPicPr>
        <xdr:cNvPr id="164" name="Picture 163"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77150" y="92678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19050</xdr:colOff>
      <xdr:row>33</xdr:row>
      <xdr:rowOff>9525</xdr:rowOff>
    </xdr:from>
    <xdr:to>
      <xdr:col>24</xdr:col>
      <xdr:colOff>209550</xdr:colOff>
      <xdr:row>33</xdr:row>
      <xdr:rowOff>200025</xdr:rowOff>
    </xdr:to>
    <xdr:pic>
      <xdr:nvPicPr>
        <xdr:cNvPr id="165" name="Picture 164"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86675" y="98679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40</xdr:row>
      <xdr:rowOff>0</xdr:rowOff>
    </xdr:from>
    <xdr:to>
      <xdr:col>9</xdr:col>
      <xdr:colOff>47625</xdr:colOff>
      <xdr:row>41</xdr:row>
      <xdr:rowOff>28575</xdr:rowOff>
    </xdr:to>
    <xdr:pic>
      <xdr:nvPicPr>
        <xdr:cNvPr id="167" name="Picture 166" descr="C:\Users\gilchels\AppData\Local\Microsoft\Windows\Temporary Internet Files\Content.IE5\F2L0AWUC\recycle[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43225" y="1156335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428624</xdr:colOff>
      <xdr:row>71</xdr:row>
      <xdr:rowOff>133350</xdr:rowOff>
    </xdr:to>
    <xdr:sp macro="" textlink="">
      <xdr:nvSpPr>
        <xdr:cNvPr id="2" name="TextBox 1"/>
        <xdr:cNvSpPr txBox="1"/>
      </xdr:nvSpPr>
      <xdr:spPr>
        <a:xfrm>
          <a:off x="19049" y="19049"/>
          <a:ext cx="2847975" cy="11610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Puzzled by Plastics?</a:t>
          </a:r>
        </a:p>
        <a:p>
          <a:endParaRPr lang="en-US" sz="840"/>
        </a:p>
        <a:p>
          <a:r>
            <a:rPr lang="en-US" sz="840"/>
            <a:t>People are sometimes puzzled about which plastics can be recycled and which should go in the trash. And for good reason! Plastics are a group of very chemically diverse materials. Fortunately a national coding system requires most consumer plastics to be labeled with a resin code 1 through 7. This helps consumers identiy the types of plastics used in making bottles and other containers. </a:t>
          </a:r>
        </a:p>
        <a:p>
          <a:endParaRPr lang="en-US" sz="840"/>
        </a:p>
        <a:p>
          <a:r>
            <a:rPr lang="en-US" sz="840" b="0" i="0" u="none" strike="noStrike">
              <a:solidFill>
                <a:schemeClr val="dk1"/>
              </a:solidFill>
              <a:effectLst/>
              <a:latin typeface="+mn-lt"/>
              <a:ea typeface="+mn-ea"/>
              <a:cs typeface="+mn-cs"/>
            </a:rPr>
            <a:t>The resin coding system consists of a recycling triangle with a number 1 through 7 in the center. Numbers 1 through 6 each represent a different type of plastic resin. Number 7 includes all other plastics. The letters sometimes found under the triangle abbreviate the name of the plastic.</a:t>
          </a:r>
          <a:r>
            <a:rPr lang="en-US" sz="840"/>
            <a:t> </a:t>
          </a:r>
        </a:p>
        <a:p>
          <a:endParaRPr lang="en-US" sz="840"/>
        </a:p>
        <a:p>
          <a:r>
            <a:rPr lang="en-US" sz="840"/>
            <a:t>Generally, this coding symbol</a:t>
          </a:r>
          <a:r>
            <a:rPr lang="en-US" sz="840" baseline="0"/>
            <a:t> is imprinted on the bottom of a plastic container. While the code provides guidance, it should be viewed with caution because of the misleading use of the recycling triangle. The presence of the recycling triangle does not necessarily mean that the item is accepted in your local program or that it can be recycled. For example, plastic deli produce containers often bear the #1 label. However, these containers include additives that will ruin a batch of #1 plastics used to make new beverage containers. When in doubt, it is better to throw the container out. </a:t>
          </a:r>
        </a:p>
        <a:p>
          <a:endParaRPr lang="en-US" sz="840" baseline="0"/>
        </a:p>
        <a:p>
          <a:r>
            <a:rPr lang="en-US" sz="840" baseline="0"/>
            <a:t>#1 PETE - polyethylene terephthalate</a:t>
          </a:r>
        </a:p>
        <a:p>
          <a:r>
            <a:rPr lang="en-US" sz="840" baseline="0"/>
            <a:t>Common forms: bottles for soft  drinks, water, juice, sports drinks, mouthwash, ketchup and salad dressing' food jars for peanut butter, jelly, jam and pickles</a:t>
          </a:r>
        </a:p>
        <a:p>
          <a:r>
            <a:rPr lang="en-US" sz="840" baseline="0"/>
            <a:t>Recycled into: fiber for carpet, fleece jackets, comforter fill and tote bags. </a:t>
          </a:r>
        </a:p>
        <a:p>
          <a:r>
            <a:rPr lang="en-US" sz="840" baseline="0"/>
            <a:t>Good recycling market</a:t>
          </a:r>
        </a:p>
        <a:p>
          <a:endParaRPr lang="en-US" sz="840" baseline="0"/>
        </a:p>
        <a:p>
          <a:r>
            <a:rPr lang="en-US" sz="840" baseline="0"/>
            <a:t>#2 HPDE - high density polyethylene</a:t>
          </a:r>
        </a:p>
        <a:p>
          <a:r>
            <a:rPr lang="en-US" sz="840" baseline="0"/>
            <a:t>Common forms: bottles for milk, water juice, cosmetics, shampoo, dish and laundry detergents and household cleaners</a:t>
          </a:r>
        </a:p>
        <a:p>
          <a:r>
            <a:rPr lang="en-US" sz="840" baseline="0"/>
            <a:t>Recycled into: plastic lumber for outdoor decking, fencing and picnic tables; piping; floor tiles; buckets; bottles for non-food items, such as shampoo, conditioner, liquid laundry detergent, household cleaners, motor oil and antifreeze</a:t>
          </a:r>
        </a:p>
        <a:p>
          <a:r>
            <a:rPr lang="en-US" sz="840" baseline="0"/>
            <a:t>Good recycling market</a:t>
          </a:r>
        </a:p>
        <a:p>
          <a:endParaRPr lang="en-US" sz="840" baseline="0"/>
        </a:p>
        <a:p>
          <a:r>
            <a:rPr lang="en-US" sz="840" baseline="0"/>
            <a:t>#3 PVC - polyvinyl chloride</a:t>
          </a:r>
        </a:p>
        <a:p>
          <a:r>
            <a:rPr lang="en-US" sz="840" baseline="0"/>
            <a:t>Common forms: rigid packaging like blister packs and clamshells, bags for bedding and medical supplies, shrink wrap, deli and meat wrp and tamper-resistant packaging</a:t>
          </a:r>
        </a:p>
        <a:p>
          <a:r>
            <a:rPr lang="en-US" sz="840" baseline="0"/>
            <a:t>Recycled into: pipe, decking, fencing, paneling, gutters, carpet backing, floor tiles and mats, resilient flooring and mud flaps, cassette trays, traffic cones, garden hose</a:t>
          </a:r>
        </a:p>
        <a:p>
          <a:r>
            <a:rPr lang="en-US" sz="840" baseline="0"/>
            <a:t>Limited recycling market, a serious contaminant in current recycling systems</a:t>
          </a:r>
        </a:p>
        <a:p>
          <a:endParaRPr lang="en-US" sz="840" baseline="0"/>
        </a:p>
        <a:p>
          <a:r>
            <a:rPr lang="en-US" sz="840" baseline="0"/>
            <a:t>#4 LPDE - low density polyethylene</a:t>
          </a:r>
        </a:p>
        <a:p>
          <a:r>
            <a:rPr lang="en-US" sz="840" baseline="0"/>
            <a:t>Common forms: bags for dry cleaning, newspapers, bread, frozen foods, fresh produce and household garbage; shrink wrap and flexible film; container lids; squeezable bottles like hone and mustard; toys</a:t>
          </a:r>
        </a:p>
        <a:p>
          <a:r>
            <a:rPr lang="en-US" sz="840" baseline="0"/>
            <a:t>Recycled into: shipping envelopes, garbage can liners, floor tile, paneling, furniture film and sheeting, compost bins, trash cans, landscape timber and outdoor lumber</a:t>
          </a:r>
        </a:p>
        <a:p>
          <a:r>
            <a:rPr lang="en-US" sz="840" baseline="0"/>
            <a:t>Limited but growing recycling market</a:t>
          </a:r>
        </a:p>
        <a:p>
          <a:endParaRPr lang="en-US" sz="840" baseline="0"/>
        </a:p>
        <a:p>
          <a:r>
            <a:rPr lang="en-US" sz="840"/>
            <a:t>#5 PP - polypropylene</a:t>
          </a:r>
        </a:p>
        <a:p>
          <a:r>
            <a:rPr lang="en-US" sz="840"/>
            <a:t>Common forms: containers for yogurt, margarine, butter, dairy products,</a:t>
          </a:r>
          <a:r>
            <a:rPr lang="en-US" sz="840" baseline="0"/>
            <a:t> takeout meals and deli foods; medicine bottles, bottle caps and closures</a:t>
          </a:r>
        </a:p>
        <a:p>
          <a:r>
            <a:rPr lang="en-US" sz="840" baseline="0"/>
            <a:t>Recycled into: automobile applications, garden rakes, storage bins, shipping pallets, sheeting and trays</a:t>
          </a:r>
        </a:p>
        <a:p>
          <a:r>
            <a:rPr lang="en-US" sz="840" baseline="0"/>
            <a:t>Limited but growing recycling market</a:t>
          </a:r>
        </a:p>
        <a:p>
          <a:endParaRPr lang="en-US" sz="840" baseline="0"/>
        </a:p>
        <a:p>
          <a:r>
            <a:rPr lang="en-US" sz="840" baseline="0"/>
            <a:t>#6 PS - polystyrene foam - Styrofoam </a:t>
          </a:r>
          <a:r>
            <a:rPr lang="en-US" sz="840" baseline="30000"/>
            <a:t>TM</a:t>
          </a:r>
        </a:p>
        <a:p>
          <a:r>
            <a:rPr lang="en-US" sz="840"/>
            <a:t>Common forms: food service items</a:t>
          </a:r>
          <a:r>
            <a:rPr lang="en-US" sz="840" baseline="0"/>
            <a:t> such as cups, plates, bowls, cutlery, hinged takeout containers (clamshells) and meat and poultry trays; packing peanuts; compact disc cases; aspirin bottles; protective foam packaging for furniture, electronics and other delicate items</a:t>
          </a:r>
        </a:p>
        <a:p>
          <a:r>
            <a:rPr lang="en-US" sz="840" baseline="0"/>
            <a:t>Recycled into: thermal insulation, thermometers, light switch plates, vents, desk trays, rulers, license plate frames and egg cartons</a:t>
          </a:r>
        </a:p>
        <a:p>
          <a:r>
            <a:rPr lang="en-US" sz="840" baseline="0"/>
            <a:t>Limited recycling merket</a:t>
          </a:r>
        </a:p>
        <a:p>
          <a:endParaRPr lang="en-US" sz="840" baseline="0"/>
        </a:p>
        <a:p>
          <a:r>
            <a:rPr lang="en-US" sz="840" baseline="0"/>
            <a:t>#7 Other</a:t>
          </a:r>
        </a:p>
        <a:p>
          <a:r>
            <a:rPr lang="en-US" sz="840" baseline="0"/>
            <a:t>This category includes products which contain all other plastics, mixed plastics or multi-layer materials.</a:t>
          </a:r>
        </a:p>
        <a:p>
          <a:r>
            <a:rPr lang="en-US" sz="840" baseline="0"/>
            <a:t>Limited recycling market</a:t>
          </a:r>
          <a:endParaRPr lang="en-US" sz="840"/>
        </a:p>
      </xdr:txBody>
    </xdr:sp>
    <xdr:clientData/>
  </xdr:twoCellAnchor>
  <xdr:twoCellAnchor>
    <xdr:from>
      <xdr:col>4</xdr:col>
      <xdr:colOff>485775</xdr:colOff>
      <xdr:row>0</xdr:row>
      <xdr:rowOff>19048</xdr:rowOff>
    </xdr:from>
    <xdr:to>
      <xdr:col>9</xdr:col>
      <xdr:colOff>523875</xdr:colOff>
      <xdr:row>48</xdr:row>
      <xdr:rowOff>95249</xdr:rowOff>
    </xdr:to>
    <xdr:sp macro="" textlink="">
      <xdr:nvSpPr>
        <xdr:cNvPr id="3" name="TextBox 2"/>
        <xdr:cNvSpPr txBox="1"/>
      </xdr:nvSpPr>
      <xdr:spPr>
        <a:xfrm>
          <a:off x="2924175" y="19048"/>
          <a:ext cx="3086100" cy="784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The</a:t>
          </a:r>
          <a:r>
            <a:rPr lang="en-US" sz="1000" baseline="0"/>
            <a:t> materials described in this brouchure may not provide all the possible fees for the proper recycling or disposal of waste materials. Please consult with attendants for further informaiton. </a:t>
          </a:r>
        </a:p>
        <a:p>
          <a:endParaRPr lang="en-US" sz="1000" baseline="0"/>
        </a:p>
        <a:p>
          <a:r>
            <a:rPr lang="en-US" sz="1000" b="1" baseline="0"/>
            <a:t>Freon contained appliances</a:t>
          </a:r>
        </a:p>
        <a:p>
          <a:r>
            <a:rPr lang="en-US" sz="1000" baseline="0"/>
            <a:t>Air conditioners		$50.00</a:t>
          </a:r>
        </a:p>
        <a:p>
          <a:r>
            <a:rPr lang="en-US" sz="1000" baseline="0"/>
            <a:t>Any other freon appliances	$50.00</a:t>
          </a:r>
        </a:p>
        <a:p>
          <a:endParaRPr lang="en-US" sz="1000" baseline="0"/>
        </a:p>
        <a:p>
          <a:r>
            <a:rPr lang="en-US" sz="1000" b="1" baseline="0"/>
            <a:t>Electronics</a:t>
          </a:r>
        </a:p>
        <a:p>
          <a:r>
            <a:rPr lang="en-US" sz="1000" baseline="0"/>
            <a:t>Tvs, computers		$50.00</a:t>
          </a:r>
        </a:p>
        <a:p>
          <a:endParaRPr lang="en-US" sz="1000" baseline="0"/>
        </a:p>
        <a:p>
          <a:r>
            <a:rPr lang="en-US" sz="1000" b="1" baseline="0"/>
            <a:t>Propane Cylinders (valve must be off)</a:t>
          </a:r>
        </a:p>
        <a:p>
          <a:r>
            <a:rPr lang="en-US" sz="1000" baseline="0"/>
            <a:t>20# cylinders and under	No charge</a:t>
          </a:r>
        </a:p>
        <a:p>
          <a:r>
            <a:rPr lang="en-US" sz="1000" baseline="0"/>
            <a:t>Over 20# cylindars	No charge</a:t>
          </a:r>
        </a:p>
        <a:p>
          <a:endParaRPr lang="en-US" sz="1000" baseline="0"/>
        </a:p>
        <a:p>
          <a:r>
            <a:rPr lang="en-US" sz="1000" b="1" baseline="0"/>
            <a:t>Tires (prices subject to change)-	Tire           With Rim</a:t>
          </a:r>
        </a:p>
        <a:p>
          <a:r>
            <a:rPr lang="en-US" sz="1000" baseline="0"/>
            <a:t>Under 13"	                	$15.00       $25.00	</a:t>
          </a:r>
        </a:p>
        <a:p>
          <a:r>
            <a:rPr lang="en-US" sz="1000" baseline="0"/>
            <a:t>13" - 16"	                	$15.00       $25.00	</a:t>
          </a:r>
        </a:p>
        <a:p>
          <a:r>
            <a:rPr lang="en-US" sz="1000" baseline="0"/>
            <a:t>17" - 18"	                	$15.00       $25.00	</a:t>
          </a:r>
        </a:p>
        <a:p>
          <a:r>
            <a:rPr lang="en-US" sz="1000" baseline="0"/>
            <a:t>19" +	                	$20.00</a:t>
          </a:r>
        </a:p>
        <a:p>
          <a:r>
            <a:rPr lang="en-US" sz="1000" baseline="0"/>
            <a:t>Below: Not Accepted With Rims</a:t>
          </a:r>
        </a:p>
        <a:p>
          <a:r>
            <a:rPr lang="en-US" sz="1000" baseline="0"/>
            <a:t>Tractor	                	$40.00	</a:t>
          </a:r>
        </a:p>
        <a:p>
          <a:r>
            <a:rPr lang="en-US" sz="1000" baseline="0"/>
            <a:t>Earth Moving, Large Equip	$50.00</a:t>
          </a:r>
        </a:p>
        <a:p>
          <a:r>
            <a:rPr lang="en-US" sz="1000" baseline="0"/>
            <a:t>	</a:t>
          </a:r>
        </a:p>
        <a:p>
          <a:r>
            <a:rPr lang="en-US" sz="1000" baseline="0"/>
            <a:t>Batteries (vehicle)	No Charge</a:t>
          </a:r>
        </a:p>
        <a:p>
          <a:r>
            <a:rPr lang="en-US" sz="1000" baseline="0"/>
            <a:t>Scrap Metal/white goods	No Charge</a:t>
          </a:r>
        </a:p>
        <a:p>
          <a:r>
            <a:rPr lang="en-US" sz="1000" baseline="0"/>
            <a:t>Waste oil, oil filters, antifreeze	No charge</a:t>
          </a:r>
        </a:p>
        <a:p>
          <a:r>
            <a:rPr lang="en-US" sz="1000" baseline="0"/>
            <a:t>Clean Cardboard, Paper, Plastic</a:t>
          </a:r>
        </a:p>
        <a:p>
          <a:r>
            <a:rPr lang="en-US" sz="1000" baseline="0"/>
            <a:t>Glass, Tin		No Charge</a:t>
          </a:r>
        </a:p>
        <a:p>
          <a:endParaRPr lang="en-US" sz="1000" baseline="0"/>
        </a:p>
        <a:p>
          <a:r>
            <a:rPr lang="en-US" sz="1000" b="1" baseline="0"/>
            <a:t>Waste Materials</a:t>
          </a:r>
        </a:p>
        <a:p>
          <a:r>
            <a:rPr lang="en-US" sz="1000" baseline="0"/>
            <a:t>Large waste items i.e. sofas,</a:t>
          </a:r>
        </a:p>
        <a:p>
          <a:r>
            <a:rPr lang="en-US" sz="1000" baseline="0"/>
            <a:t>mattresses, etc		$20.00</a:t>
          </a:r>
        </a:p>
        <a:p>
          <a:endParaRPr lang="en-US" sz="1000" baseline="0"/>
        </a:p>
        <a:p>
          <a:r>
            <a:rPr lang="en-US" sz="1000" b="1" baseline="0"/>
            <a:t>Fluorescent Bulbs/CFL's</a:t>
          </a:r>
        </a:p>
        <a:p>
          <a:r>
            <a:rPr lang="en-US" sz="1000" b="0" baseline="0"/>
            <a:t>(Package carefully to prevent breakage)</a:t>
          </a:r>
        </a:p>
        <a:p>
          <a:r>
            <a:rPr lang="en-US" sz="1000" baseline="0"/>
            <a:t>Tubular Bulbs		$1.50</a:t>
          </a:r>
        </a:p>
        <a:p>
          <a:r>
            <a:rPr lang="en-US" sz="1000" baseline="0"/>
            <a:t>Compacts (CFL's)		$1.50</a:t>
          </a:r>
        </a:p>
        <a:p>
          <a:r>
            <a:rPr lang="en-US" sz="1000" baseline="0"/>
            <a:t>LED                                                         $6.00</a:t>
          </a:r>
        </a:p>
        <a:p>
          <a:r>
            <a:rPr lang="en-US" sz="1000" baseline="0"/>
            <a:t>Shatterproof/Shielded Lamps  	</a:t>
          </a:r>
        </a:p>
        <a:p>
          <a:r>
            <a:rPr lang="en-US" sz="1000" baseline="0"/>
            <a:t>(4 Foot and Under)                              $3.00                                </a:t>
          </a:r>
          <a:r>
            <a:rPr lang="en-US" sz="1000" baseline="0">
              <a:solidFill>
                <a:schemeClr val="dk1"/>
              </a:solidFill>
              <a:effectLst/>
              <a:latin typeface="+mn-lt"/>
              <a:ea typeface="+mn-ea"/>
              <a:cs typeface="+mn-cs"/>
            </a:rPr>
            <a:t>(5 Foot and Over)                                $4.50            </a:t>
          </a:r>
          <a:r>
            <a:rPr lang="en-US" sz="1000" baseline="0"/>
            <a:t>                               </a:t>
          </a:r>
          <a:r>
            <a:rPr lang="en-US" sz="1000" baseline="0">
              <a:solidFill>
                <a:schemeClr val="dk1"/>
              </a:solidFill>
              <a:effectLst/>
              <a:latin typeface="+mn-lt"/>
              <a:ea typeface="+mn-ea"/>
              <a:cs typeface="+mn-cs"/>
            </a:rPr>
            <a:t>Flood/Spot/Quartz/ Halogen	$1.50               </a:t>
          </a:r>
          <a:endParaRPr lang="en-US" sz="1000" baseline="0"/>
        </a:p>
        <a:p>
          <a:r>
            <a:rPr lang="en-US" sz="1000" baseline="0"/>
            <a:t>UV/Ultravoilet Bulbs	$10.00</a:t>
          </a:r>
        </a:p>
        <a:p>
          <a:r>
            <a:rPr lang="en-US" sz="1000" baseline="0"/>
            <a:t>High Intensity Discharge	$3.00</a:t>
          </a:r>
        </a:p>
        <a:p>
          <a:r>
            <a:rPr lang="en-US" sz="1000" baseline="0"/>
            <a:t>(mercury vapor, metal halide, high pressure sodium)</a:t>
          </a:r>
        </a:p>
        <a:p>
          <a:r>
            <a:rPr lang="en-US" sz="1000" b="1" baseline="0"/>
            <a:t>Compact Fluorescent Bulbs (CFL's) can be recycled for free at locations found on the Focus on Energy website: www.focusonenergy.com</a:t>
          </a:r>
        </a:p>
        <a:p>
          <a:endParaRPr lang="en-US" sz="1000" baseline="0"/>
        </a:p>
        <a:p>
          <a:r>
            <a:rPr lang="en-US" sz="1000" b="1" baseline="0"/>
            <a:t>Prices are subject to change</a:t>
          </a:r>
        </a:p>
      </xdr:txBody>
    </xdr:sp>
    <xdr:clientData/>
  </xdr:twoCellAnchor>
  <xdr:twoCellAnchor>
    <xdr:from>
      <xdr:col>4</xdr:col>
      <xdr:colOff>485775</xdr:colOff>
      <xdr:row>48</xdr:row>
      <xdr:rowOff>114301</xdr:rowOff>
    </xdr:from>
    <xdr:to>
      <xdr:col>9</xdr:col>
      <xdr:colOff>504825</xdr:colOff>
      <xdr:row>56</xdr:row>
      <xdr:rowOff>76201</xdr:rowOff>
    </xdr:to>
    <xdr:sp macro="" textlink="">
      <xdr:nvSpPr>
        <xdr:cNvPr id="4" name="TextBox 3"/>
        <xdr:cNvSpPr txBox="1"/>
      </xdr:nvSpPr>
      <xdr:spPr>
        <a:xfrm>
          <a:off x="2924175" y="7886701"/>
          <a:ext cx="306705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Recycle</a:t>
          </a:r>
          <a:r>
            <a:rPr lang="en-US" sz="1000" baseline="0"/>
            <a:t> plastic bags, film &amp; wrap at participating locations such as grocery, retail &amp; hardware stores. The City of Gillett Recycling Center </a:t>
          </a:r>
          <a:r>
            <a:rPr lang="en-US" sz="1000" b="1" u="sng" baseline="0"/>
            <a:t>does not</a:t>
          </a:r>
          <a:r>
            <a:rPr lang="en-US" sz="1000" b="0" u="none" baseline="0"/>
            <a:t> accept plastic bags, film or wrap. Loose plastic bags, film &amp; wrap clogs up processing machinery causing unnecessary expenses at recycling facilities and at local landfill sites.</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7"/>
  <sheetViews>
    <sheetView showGridLines="0" tabSelected="1" zoomScaleNormal="100" workbookViewId="0">
      <selection activeCell="AK33" sqref="AK33"/>
    </sheetView>
  </sheetViews>
  <sheetFormatPr defaultRowHeight="12.75" x14ac:dyDescent="0.2"/>
  <cols>
    <col min="1" max="1" width="9.5703125" style="1" bestFit="1" customWidth="1"/>
    <col min="2" max="2" width="3.7109375" style="1" customWidth="1"/>
    <col min="3" max="9" width="4.7109375" style="1" customWidth="1"/>
    <col min="10" max="10" width="3.7109375" style="1" customWidth="1"/>
    <col min="11" max="17" width="4.7109375" style="1" customWidth="1"/>
    <col min="18" max="18" width="3.7109375" style="1" customWidth="1"/>
    <col min="19" max="25" width="4.7109375" style="1" customWidth="1"/>
    <col min="26" max="26" width="3.7109375" style="1" customWidth="1"/>
    <col min="27" max="27" width="4.7109375" style="1" customWidth="1"/>
    <col min="28" max="33" width="4.7109375" style="6" customWidth="1"/>
    <col min="34" max="34" width="9.140625" style="6" customWidth="1"/>
    <col min="35" max="68" width="9.140625" style="6"/>
    <col min="69" max="16384" width="9.140625" style="1"/>
  </cols>
  <sheetData>
    <row r="1" spans="1:34" ht="36.75" customHeight="1" x14ac:dyDescent="0.7">
      <c r="C1" s="45" t="s">
        <v>31</v>
      </c>
      <c r="D1" s="46"/>
      <c r="E1" s="46"/>
      <c r="F1" s="46"/>
      <c r="G1" s="46"/>
      <c r="H1" s="46"/>
      <c r="I1" s="46"/>
      <c r="J1" s="46"/>
      <c r="K1" s="46"/>
      <c r="L1" s="46"/>
      <c r="M1" s="46"/>
      <c r="N1" s="46"/>
      <c r="O1" s="46"/>
      <c r="P1" s="46"/>
      <c r="Q1" s="46"/>
      <c r="R1" s="46"/>
      <c r="S1" s="46"/>
      <c r="T1" s="46"/>
      <c r="U1" s="46"/>
      <c r="V1" s="46"/>
      <c r="W1" s="46"/>
      <c r="X1" s="46"/>
      <c r="Y1" s="46"/>
    </row>
    <row r="2" spans="1:34" ht="36.75" customHeight="1" x14ac:dyDescent="0.7">
      <c r="A2" s="9">
        <v>2020</v>
      </c>
      <c r="C2" s="48" t="s">
        <v>32</v>
      </c>
      <c r="D2" s="46"/>
      <c r="E2" s="46"/>
      <c r="F2" s="46"/>
      <c r="G2" s="46"/>
      <c r="H2" s="46"/>
      <c r="I2" s="46"/>
      <c r="J2" s="46"/>
      <c r="K2" s="46"/>
      <c r="L2" s="46"/>
      <c r="M2" s="46"/>
      <c r="N2" s="46"/>
      <c r="O2" s="46"/>
      <c r="P2" s="46"/>
      <c r="Q2" s="46"/>
      <c r="R2" s="46"/>
      <c r="S2" s="46"/>
      <c r="T2" s="46"/>
      <c r="U2" s="46"/>
      <c r="V2" s="46"/>
      <c r="W2" s="46"/>
      <c r="X2" s="46"/>
      <c r="Y2" s="46"/>
      <c r="Z2" s="30"/>
      <c r="AA2" s="30"/>
      <c r="AB2" s="35"/>
    </row>
    <row r="3" spans="1:34" ht="15.95" customHeight="1" x14ac:dyDescent="0.2">
      <c r="C3" s="42" t="s">
        <v>5</v>
      </c>
      <c r="D3" s="43"/>
      <c r="E3" s="43"/>
      <c r="F3" s="43"/>
      <c r="G3" s="43"/>
      <c r="H3" s="43"/>
      <c r="I3" s="44"/>
      <c r="K3" s="42" t="s">
        <v>6</v>
      </c>
      <c r="L3" s="43"/>
      <c r="M3" s="43"/>
      <c r="N3" s="43"/>
      <c r="O3" s="43"/>
      <c r="P3" s="43"/>
      <c r="Q3" s="44"/>
      <c r="S3" s="42" t="s">
        <v>7</v>
      </c>
      <c r="T3" s="43"/>
      <c r="U3" s="43"/>
      <c r="V3" s="43"/>
      <c r="W3" s="43"/>
      <c r="X3" s="43"/>
      <c r="Y3" s="44"/>
    </row>
    <row r="4" spans="1:34" ht="24" customHeight="1" x14ac:dyDescent="0.2">
      <c r="B4" s="2"/>
      <c r="C4" s="3" t="s">
        <v>0</v>
      </c>
      <c r="D4" s="3" t="s">
        <v>1</v>
      </c>
      <c r="E4" s="3" t="s">
        <v>2</v>
      </c>
      <c r="F4" s="3" t="s">
        <v>3</v>
      </c>
      <c r="G4" s="3" t="s">
        <v>2</v>
      </c>
      <c r="H4" s="3" t="s">
        <v>4</v>
      </c>
      <c r="I4" s="3" t="s">
        <v>0</v>
      </c>
      <c r="K4" s="3" t="s">
        <v>0</v>
      </c>
      <c r="L4" s="3" t="s">
        <v>1</v>
      </c>
      <c r="M4" s="3" t="s">
        <v>2</v>
      </c>
      <c r="N4" s="3" t="s">
        <v>3</v>
      </c>
      <c r="O4" s="3" t="s">
        <v>2</v>
      </c>
      <c r="P4" s="3" t="s">
        <v>4</v>
      </c>
      <c r="Q4" s="3" t="s">
        <v>0</v>
      </c>
      <c r="S4" s="3" t="s">
        <v>0</v>
      </c>
      <c r="T4" s="3" t="s">
        <v>1</v>
      </c>
      <c r="U4" s="3" t="s">
        <v>2</v>
      </c>
      <c r="V4" s="3" t="s">
        <v>3</v>
      </c>
      <c r="W4" s="3" t="s">
        <v>2</v>
      </c>
      <c r="X4" s="3" t="s">
        <v>4</v>
      </c>
      <c r="Y4" s="3" t="s">
        <v>0</v>
      </c>
    </row>
    <row r="5" spans="1:34" ht="24" customHeight="1" x14ac:dyDescent="0.2">
      <c r="C5" s="4" t="str">
        <f>IF(AND(YEAR(JanSun1)=$A$2,MONTH(JanSun1)=1),JanSun1, "")</f>
        <v/>
      </c>
      <c r="D5" s="4" t="str">
        <f>IF(AND(YEAR(JanSun1+1)=$A$2,MONTH(JanSun1+1)=1),JanSun1+1, "")</f>
        <v/>
      </c>
      <c r="E5" s="4" t="str">
        <f>IF(AND(YEAR(JanSun1+2)=$A$2,MONTH(JanSun1+2)=1),JanSun1+2, "")</f>
        <v/>
      </c>
      <c r="F5" s="4">
        <f>IF(AND(YEAR(JanSun1+3)=$A$2,MONTH(JanSun1+3)=1),JanSun1+3, "")</f>
        <v>43831</v>
      </c>
      <c r="G5" s="19">
        <f>IF(AND(YEAR(JanSun1+4)=$A$2,MONTH(JanSun1+4)=1),JanSun1+4, "")</f>
        <v>43832</v>
      </c>
      <c r="H5" s="19">
        <f>IF(AND(YEAR(JanSun1+5)=$A$2,MONTH(JanSun1+5)=1),JanSun1+5, "")</f>
        <v>43833</v>
      </c>
      <c r="I5" s="4">
        <f>IF(AND(YEAR(JanSun1+6)=$A$2,MONTH(JanSun1+6)=1),JanSun1+6, "")</f>
        <v>43834</v>
      </c>
      <c r="K5" s="4" t="str">
        <f>IF(AND(YEAR(FebSun1)=$A$2,MONTH(FebSun1)=2),FebSun1, "")</f>
        <v/>
      </c>
      <c r="L5" s="19" t="str">
        <f>IF(AND(YEAR(FebSun1+1)=$A$2,MONTH(FebSun1+1)=2),FebSun1+1, "")</f>
        <v/>
      </c>
      <c r="M5" s="19" t="str">
        <f>IF(AND(YEAR(FebSun1+2)=$A$2,MONTH(FebSun1+2)=2),FebSun1+2, "")</f>
        <v/>
      </c>
      <c r="N5" s="19" t="str">
        <f>IF(AND(YEAR(FebSun1+3)=$A$2,MONTH(FebSun1+3)=2),FebSun1+3, "")</f>
        <v/>
      </c>
      <c r="O5" s="4" t="str">
        <f>IF(AND(YEAR(FebSun1+4)=$A$2,MONTH(FebSun1+4)=2),FebSun1+4, "")</f>
        <v/>
      </c>
      <c r="P5" s="4" t="str">
        <f>IF(AND(YEAR(FebSun1+5)=$A$2,MONTH(FebSun1+5)=2),FebSun1+5, "")</f>
        <v/>
      </c>
      <c r="Q5" s="4">
        <f>IF(AND(YEAR(FebSun1+6)=$A$2,MONTH(FebSun1+6)=2),FebSun1+6, "")</f>
        <v>43862</v>
      </c>
      <c r="S5" s="4">
        <f>IF(AND(YEAR(MarSun1)=$A$2,MONTH(MarSun1)=3),MarSun1, "")</f>
        <v>43891</v>
      </c>
      <c r="T5" s="19">
        <f>IF(AND(YEAR(MarSun1+1)=$A$2,MONTH(MarSun1+1)=3),MarSun1+1, "")</f>
        <v>43892</v>
      </c>
      <c r="U5" s="19">
        <f>IF(AND(YEAR(MarSun1+2)=$A$2,MONTH(MarSun1+2)=3),MarSun1+2, "")</f>
        <v>43893</v>
      </c>
      <c r="V5" s="19">
        <f>IF(AND(YEAR(MarSun1+3)=$A$2,MONTH(MarSun1+3)=3),MarSun1+3, "")</f>
        <v>43894</v>
      </c>
      <c r="W5" s="4">
        <f>IF(AND(YEAR(MarSun1+4)=$A$2,MONTH(MarSun1+4)=3),MarSun1+4, "")</f>
        <v>43895</v>
      </c>
      <c r="X5" s="4">
        <f>IF(AND(YEAR(MarSun1+5)=$A$2,MONTH(MarSun1+5)=3),MarSun1+5, "")</f>
        <v>43896</v>
      </c>
      <c r="Y5" s="4">
        <f>IF(AND(YEAR(MarSun1+6)=$A$2,MONTH(MarSun1+6)=3),MarSun1+6, "")</f>
        <v>43897</v>
      </c>
    </row>
    <row r="6" spans="1:34" ht="24" customHeight="1" x14ac:dyDescent="0.2">
      <c r="C6" s="4">
        <f>IF(AND(YEAR(JanSun1+7)=$A$2,MONTH(JanSun1+7)=1),JanSun1+7, "")</f>
        <v>43835</v>
      </c>
      <c r="D6" s="19">
        <f>IF(AND(YEAR(JanSun1+8)=$A$2,MONTH(JanSun1+8)=1),JanSun1+8, "")</f>
        <v>43836</v>
      </c>
      <c r="E6" s="19">
        <f>IF(AND(YEAR(JanSun1+9)=$A$2,MONTH(JanSun1+9)=1),JanSun1+9, "")</f>
        <v>43837</v>
      </c>
      <c r="F6" s="19">
        <f>IF(AND(YEAR(JanSun1+10)=$A$2,MONTH(JanSun1+10)=1),JanSun1+10, "")</f>
        <v>43838</v>
      </c>
      <c r="G6" s="4">
        <f>IF(AND(YEAR(JanSun1+11)=$A$2,MONTH(JanSun1+11)=1),JanSun1+11, "")</f>
        <v>43839</v>
      </c>
      <c r="H6" s="4">
        <f>IF(AND(YEAR(JanSun1+12)=$A$2,MONTH(JanSun1+12)=1),JanSun1+12, "")</f>
        <v>43840</v>
      </c>
      <c r="I6" s="4">
        <f>IF(AND(YEAR(JanSun1+13)=$A$2,MONTH(JanSun1+13)=1),JanSun1+13, "")</f>
        <v>43841</v>
      </c>
      <c r="K6" s="4">
        <f>IF(AND(YEAR(FebSun1+7)=$A$2,MONTH(FebSun1+7)=2),FebSun1+7, "")</f>
        <v>43863</v>
      </c>
      <c r="L6" s="19">
        <f>IF(AND(YEAR(FebSun1+8)=$A$2,MONTH(FebSun1+8)=2),FebSun1+8, "")</f>
        <v>43864</v>
      </c>
      <c r="M6" s="19">
        <f>IF(AND(YEAR(FebSun1+9)=$A$2,MONTH(FebSun1+9)=2),FebSun1+9, "")</f>
        <v>43865</v>
      </c>
      <c r="N6" s="19">
        <f>IF(AND(YEAR(FebSun1+10)=$A$2,MONTH(FebSun1+10)=2),FebSun1+10, "")</f>
        <v>43866</v>
      </c>
      <c r="O6" s="4">
        <f>IF(AND(YEAR(FebSun1+11)=$A$2,MONTH(FebSun1+11)=2),FebSun1+11, "")</f>
        <v>43867</v>
      </c>
      <c r="P6" s="4">
        <f>IF(AND(YEAR(FebSun1+12)=$A$2,MONTH(FebSun1+12)=2),FebSun1+12, "")</f>
        <v>43868</v>
      </c>
      <c r="Q6" s="4">
        <f>IF(AND(YEAR(FebSun1+13)=$A$2,MONTH(FebSun1+13)=2),FebSun1+13, "")</f>
        <v>43869</v>
      </c>
      <c r="S6" s="4">
        <f>IF(AND(YEAR(MarSun1+7)=$A$2,MONTH(MarSun1+7)=3),MarSun1+7, "")</f>
        <v>43898</v>
      </c>
      <c r="T6" s="19">
        <f>IF(AND(YEAR(MarSun1+8)=$A$2,MONTH(MarSun1+8)=3),MarSun1+8, "")</f>
        <v>43899</v>
      </c>
      <c r="U6" s="19">
        <f>IF(AND(YEAR(MarSun1+9)=$A$2,MONTH(MarSun1+9)=3),MarSun1+9, "")</f>
        <v>43900</v>
      </c>
      <c r="V6" s="19">
        <f>IF(AND(YEAR(MarSun1+10)=$A$2,MONTH(MarSun1+10)=3),MarSun1+10, "")</f>
        <v>43901</v>
      </c>
      <c r="W6" s="4">
        <f>IF(AND(YEAR(MarSun1+11)=$A$2,MONTH(MarSun1+11)=3),MarSun1+11, "")</f>
        <v>43902</v>
      </c>
      <c r="X6" s="4">
        <f>IF(AND(YEAR(MarSun1+12)=$A$2,MONTH(MarSun1+12)=3),MarSun1+12, "")</f>
        <v>43903</v>
      </c>
      <c r="Y6" s="4">
        <f>IF(AND(YEAR(MarSun1+13)=$A$2,MONTH(MarSun1+13)=3),MarSun1+13, "")</f>
        <v>43904</v>
      </c>
    </row>
    <row r="7" spans="1:34" ht="24" customHeight="1" x14ac:dyDescent="0.2">
      <c r="C7" s="4">
        <f>IF(AND(YEAR(JanSun1+14)=$A$2,MONTH(JanSun1+14)=1),JanSun1+14, "")</f>
        <v>43842</v>
      </c>
      <c r="D7" s="25">
        <f>IF(AND(YEAR(JanSun1+15)=$A$2,MONTH(JanSun1+15)=1),JanSun1+15, "")</f>
        <v>43843</v>
      </c>
      <c r="E7" s="19">
        <f>IF(AND(YEAR(JanSun1+16)=$A$2,MONTH(JanSun1+16)=1),JanSun1+16, "")</f>
        <v>43844</v>
      </c>
      <c r="F7" s="19">
        <f>IF(AND(YEAR(JanSun1+17)=$A$2,MONTH(JanSun1+17)=1),JanSun1+17, "")</f>
        <v>43845</v>
      </c>
      <c r="G7" s="11">
        <f>IF(AND(YEAR(JanSun1+18)=$A$2,MONTH(JanSun1+18)=1),JanSun1+18, "")</f>
        <v>43846</v>
      </c>
      <c r="H7" s="4">
        <f>IF(AND(YEAR(JanSun1+19)=$A$2,MONTH(JanSun1+19)=1),JanSun1+19, "")</f>
        <v>43847</v>
      </c>
      <c r="I7" s="4">
        <f>IF(AND(YEAR(JanSun1+20)=$A$2,MONTH(JanSun1+20)=1),JanSun1+20, "")</f>
        <v>43848</v>
      </c>
      <c r="K7" s="4">
        <f>IF(AND(YEAR(FebSun1+14)=$A$2,MONTH(FebSun1+14)=2),FebSun1+14, "")</f>
        <v>43870</v>
      </c>
      <c r="L7" s="19">
        <f>IF(AND(YEAR(FebSun1+15)=$A$2,MONTH(FebSun1+15)=2),FebSun1+15, "")</f>
        <v>43871</v>
      </c>
      <c r="M7" s="19">
        <f>IF(AND(YEAR(FebSun1+16)=$A$2,MONTH(FebSun1+16)=2),FebSun1+16, "")</f>
        <v>43872</v>
      </c>
      <c r="N7" s="19">
        <f>IF(AND(YEAR(FebSun1+17)=$A$2,MONTH(FebSun1+17)=2),FebSun1+17, "")</f>
        <v>43873</v>
      </c>
      <c r="O7" s="4">
        <f>IF(AND(YEAR(FebSun1+18)=$A$2,MONTH(FebSun1+18)=2),FebSun1+18, "")</f>
        <v>43874</v>
      </c>
      <c r="P7" s="4">
        <f>IF(AND(YEAR(FebSun1+19)=$A$2,MONTH(FebSun1+19)=2),FebSun1+19, "")</f>
        <v>43875</v>
      </c>
      <c r="Q7" s="4">
        <f>IF(AND(YEAR(FebSun1+20)=$A$2,MONTH(FebSun1+20)=2),FebSun1+20, "")</f>
        <v>43876</v>
      </c>
      <c r="S7" s="4">
        <f>IF(AND(YEAR(MarSun1+14)=$A$2,MONTH(MarSun1+14)=3),MarSun1+14, "")</f>
        <v>43905</v>
      </c>
      <c r="T7" s="25">
        <f>IF(AND(YEAR(MarSun1+15)=$A$2,MONTH(MarSun1+15)=3),MarSun1+15, "")</f>
        <v>43906</v>
      </c>
      <c r="U7" s="19">
        <f>IF(AND(YEAR(MarSun1+16)=$A$2,MONTH(MarSun1+16)=3),MarSun1+16, "")</f>
        <v>43907</v>
      </c>
      <c r="V7" s="29">
        <f>IF(AND(YEAR(MarSun1+17)=$A$2,MONTH(MarSun1+17)=3),MarSun1+17, "")</f>
        <v>43908</v>
      </c>
      <c r="W7" s="4">
        <f>IF(AND(YEAR(MarSun1+18)=$A$2,MONTH(MarSun1+18)=3),MarSun1+18, "")</f>
        <v>43909</v>
      </c>
      <c r="X7" s="4">
        <f>IF(AND(YEAR(MarSun1+19)=$A$2,MONTH(MarSun1+19)=3),MarSun1+19, "")</f>
        <v>43910</v>
      </c>
      <c r="Y7" s="4">
        <f>IF(AND(YEAR(MarSun1+20)=$A$2,MONTH(MarSun1+20)=3),MarSun1+20, "")</f>
        <v>43911</v>
      </c>
    </row>
    <row r="8" spans="1:34" ht="24" customHeight="1" x14ac:dyDescent="0.2">
      <c r="C8" s="4">
        <f>IF(AND(YEAR(JanSun1+21)=$A$2,MONTH(JanSun1+21)=1),JanSun1+21, "")</f>
        <v>43849</v>
      </c>
      <c r="D8" s="19">
        <f>IF(AND(YEAR(JanSun1+22)=$A$2,MONTH(JanSun1+22)=1),JanSun1+22, "")</f>
        <v>43850</v>
      </c>
      <c r="E8" s="26">
        <f>IF(AND(YEAR(JanSun1+23)=$A$2,MONTH(JanSun1+23)=1),JanSun1+23, "")</f>
        <v>43851</v>
      </c>
      <c r="F8" s="26">
        <f>IF(AND(YEAR(JanSun1+24)=$A$2,MONTH(JanSun1+24)=1),JanSun1+24, "")</f>
        <v>43852</v>
      </c>
      <c r="G8" s="4">
        <f>IF(AND(YEAR(JanSun1+25)=$A$2,MONTH(JanSun1+25)=1),JanSun1+25, "")</f>
        <v>43853</v>
      </c>
      <c r="H8" s="4">
        <f>IF(AND(YEAR(JanSun1+26)=$A$2,MONTH(JanSun1+26)=1),JanSun1+26, "")</f>
        <v>43854</v>
      </c>
      <c r="I8" s="4">
        <f>IF(AND(YEAR(JanSun1+27)=$A$2,MONTH(JanSun1+27)=1),JanSun1+27, "")</f>
        <v>43855</v>
      </c>
      <c r="K8" s="4">
        <f>IF(AND(YEAR(FebSun1+21)=$A$2,MONTH(FebSun1+21)=2),FebSun1+21, "")</f>
        <v>43877</v>
      </c>
      <c r="L8" s="19">
        <f>IF(AND(YEAR(FebSun1+22)=$A$2,MONTH(FebSun1+22)=2),FebSun1+22, "")</f>
        <v>43878</v>
      </c>
      <c r="M8" s="19">
        <f>IF(AND(YEAR(FebSun1+23)=$A$2,MONTH(FebSun1+23)=2),FebSun1+23, "")</f>
        <v>43879</v>
      </c>
      <c r="N8" s="19">
        <f>IF(AND(YEAR(FebSun1+24)=$A$2,MONTH(FebSun1+24)=2),FebSun1+24, "")</f>
        <v>43880</v>
      </c>
      <c r="O8" s="4">
        <f>IF(AND(YEAR(FebSun1+25)=$A$2,MONTH(FebSun1+25)=2),FebSun1+25, "")</f>
        <v>43881</v>
      </c>
      <c r="P8" s="4">
        <f>IF(AND(YEAR(FebSun1+26)=$A$2,MONTH(FebSun1+26)=2),FebSun1+26, "")</f>
        <v>43882</v>
      </c>
      <c r="Q8" s="4">
        <f>IF(AND(YEAR(FebSun1+27)=$A$2,MONTH(FebSun1+27)=2),FebSun1+27, "")</f>
        <v>43883</v>
      </c>
      <c r="S8" s="4">
        <f>IF(AND(YEAR(MarSun1+21)=$A$2,MONTH(MarSun1+21)=3),MarSun1+21, "")</f>
        <v>43912</v>
      </c>
      <c r="T8" s="19">
        <f>IF(AND(YEAR(MarSun1+22)=$A$2,MONTH(MarSun1+22)=3),MarSun1+22, "")</f>
        <v>43913</v>
      </c>
      <c r="U8" s="19">
        <f>IF(AND(YEAR(MarSun1+23)=$A$2,MONTH(MarSun1+23)=3),MarSun1+23, "")</f>
        <v>43914</v>
      </c>
      <c r="V8" s="19">
        <f>IF(AND(YEAR(MarSun1+24)=$A$2,MONTH(MarSun1+24)=3),MarSun1+24, "")</f>
        <v>43915</v>
      </c>
      <c r="W8" s="4">
        <f>IF(AND(YEAR(MarSun1+25)=$A$2,MONTH(MarSun1+25)=3),MarSun1+25, "")</f>
        <v>43916</v>
      </c>
      <c r="X8" s="4">
        <f>IF(AND(YEAR(MarSun1+26)=$A$2,MONTH(MarSun1+26)=3),MarSun1+26, "")</f>
        <v>43917</v>
      </c>
      <c r="Y8" s="4">
        <f>IF(AND(YEAR(MarSun1+27)=$A$2,MONTH(MarSun1+27)=3),MarSun1+27, "")</f>
        <v>43918</v>
      </c>
    </row>
    <row r="9" spans="1:34" ht="24" customHeight="1" x14ac:dyDescent="0.2">
      <c r="C9" s="4">
        <f>IF(AND(YEAR(JanSun1+28)=$A$2,MONTH(JanSun1+28)=1),JanSun1+28, "")</f>
        <v>43856</v>
      </c>
      <c r="D9" s="25">
        <f>IF(AND(YEAR(JanSun1+29)=$A$2,MONTH(JanSun1+29)=1),JanSun1+29, "")</f>
        <v>43857</v>
      </c>
      <c r="E9" s="19">
        <f>IF(AND(YEAR(JanSun1+30)=$A$2,MONTH(JanSun1+30)=1),JanSun1+30, "")</f>
        <v>43858</v>
      </c>
      <c r="F9" s="19">
        <f>IF(AND(YEAR(JanSun1+31)=$A$2,MONTH(JanSun1+31)=1),JanSun1+31, "")</f>
        <v>43859</v>
      </c>
      <c r="G9" s="11">
        <f>IF(AND(YEAR(JanSun1+32)=$A$2,MONTH(JanSun1+32)=1),JanSun1+32, "")</f>
        <v>43860</v>
      </c>
      <c r="H9" s="4">
        <f>IF(AND(YEAR(JanSun1+33)=$A$2,MONTH(JanSun1+33)=1),JanSun1+33, "")</f>
        <v>43861</v>
      </c>
      <c r="I9" s="4" t="str">
        <f>IF(AND(YEAR(JanSun1+34)=$A$2,MONTH(JanSun1+34)=1),JanSun1+34, "")</f>
        <v/>
      </c>
      <c r="K9" s="4">
        <f>IF(AND(YEAR(FebSun1+28)=$A$2,MONTH(FebSun1+28)=2),FebSun1+28, "")</f>
        <v>43884</v>
      </c>
      <c r="L9" s="19">
        <f>IF(AND(YEAR(FebSun1+29)=$A$2,MONTH(FebSun1+29)=2),FebSun1+29, "")</f>
        <v>43885</v>
      </c>
      <c r="M9" s="19">
        <f>IF(AND(YEAR(FebSun1+30)=$A$2,MONTH(FebSun1+30)=2),FebSun1+30, "")</f>
        <v>43886</v>
      </c>
      <c r="N9" s="19">
        <f>IF(AND(YEAR(FebSun1+31)=$A$2,MONTH(FebSun1+31)=2),FebSun1+31, "")</f>
        <v>43887</v>
      </c>
      <c r="O9" s="4">
        <f>IF(AND(YEAR(FebSun1+32)=$A$2,MONTH(FebSun1+32)=2),FebSun1+32, "")</f>
        <v>43888</v>
      </c>
      <c r="P9" s="4">
        <f>IF(AND(YEAR(FebSun1+33)=$A$2,MONTH(FebSun1+33)=2),FebSun1+33, "")</f>
        <v>43889</v>
      </c>
      <c r="Q9" s="4">
        <f>IF(AND(YEAR(FebSun1+34)=$A$2,MONTH(FebSun1+34)=2),FebSun1+34, "")</f>
        <v>43890</v>
      </c>
      <c r="S9" s="4">
        <f>IF(AND(YEAR(MarSun1+28)=$A$2,MONTH(MarSun1+28)=3),MarSun1+28, "")</f>
        <v>43919</v>
      </c>
      <c r="T9" s="19">
        <f>IF(AND(YEAR(MarSun1+29)=$A$2,MONTH(MarSun1+29)=3),MarSun1+29, "")</f>
        <v>43920</v>
      </c>
      <c r="U9" s="19">
        <f>IF(AND(YEAR(MarSun1+30)=$A$2,MONTH(MarSun1+30)=3),MarSun1+30, "")</f>
        <v>43921</v>
      </c>
      <c r="V9" s="19" t="str">
        <f>IF(AND(YEAR(MarSun1+31)=$A$2,MONTH(MarSun1+31)=3),MarSun1+31, "")</f>
        <v/>
      </c>
      <c r="W9" s="4" t="str">
        <f>IF(AND(YEAR(MarSun1+32)=$A$2,MONTH(MarSun1+32)=3),MarSun1+32, "")</f>
        <v/>
      </c>
      <c r="X9" s="4" t="str">
        <f>IF(AND(YEAR(MarSun1+33)=$A$2,MONTH(MarSun1+33)=3),MarSun1+33, "")</f>
        <v/>
      </c>
      <c r="Y9" s="4" t="str">
        <f>IF(AND(YEAR(MarSun1+34)=$A$2,MONTH(MarSun1+34)=3),MarSun1+34, "")</f>
        <v/>
      </c>
    </row>
    <row r="10" spans="1:34" ht="24" customHeight="1" x14ac:dyDescent="0.2">
      <c r="C10" s="5" t="str">
        <f>IF(AND(YEAR(JanSun1+35)=$A$2,MONTH(JanSun1+35)=1),JanSun1+35, "")</f>
        <v/>
      </c>
      <c r="D10" s="5" t="str">
        <f>IF(AND(YEAR(JanSun1+36)=$A$2,MONTH(JanSun1+36)=1),JanSun1+36, "")</f>
        <v/>
      </c>
      <c r="E10" s="12" t="str">
        <f>IF(AND(YEAR(JanSun1+37)=$A$2,MONTH(JanSun1+37)=1),JanSun1+37, "")</f>
        <v/>
      </c>
      <c r="F10" s="12" t="str">
        <f>IF(AND(YEAR(JanSun1+38)=$A$2,MONTH(JanSun1+38)=1),JanSun1+38, "")</f>
        <v/>
      </c>
      <c r="G10" s="5" t="str">
        <f>IF(AND(YEAR(JanSun1+39)=$A$2,MONTH(JanSun1+39)=1),JanSun1+39, "")</f>
        <v/>
      </c>
      <c r="H10" s="5" t="str">
        <f>IF(AND(YEAR(JanSun1+40)=$A$2,MONTH(JanSun1+40)=1),JanSun1+40, "")</f>
        <v/>
      </c>
      <c r="I10" s="5" t="str">
        <f>IF(AND(YEAR(JanSun1+41)=$A$2,MONTH(JanSun1+41)=1),JanSun1+41, "")</f>
        <v/>
      </c>
      <c r="K10" s="4" t="str">
        <f>IF(AND(YEAR(FebSun1+35)=$A$2,MONTH(FebSun1+35)=2),FebSun1+35, "")</f>
        <v/>
      </c>
      <c r="L10" s="4" t="str">
        <f>IF(AND(YEAR(FebSun1+36)=$A$2,MONTH(FebSun1+36)=2),FebSun1+36, "")</f>
        <v/>
      </c>
      <c r="M10" s="4" t="str">
        <f>IF(AND(YEAR(FebSun1+37)=$A$2,MONTH(FebSun1+37)=2),FebSun1+37, "")</f>
        <v/>
      </c>
      <c r="N10" s="4" t="str">
        <f>IF(AND(YEAR(FebSun1+38)=$A$2,MONTH(FebSun1+38)=2),FebSun1+38, "")</f>
        <v/>
      </c>
      <c r="O10" s="4" t="str">
        <f>IF(AND(YEAR(FebSun1+39)=$A$2,MONTH(FebSun1+39)=2),FebSun1+39, "")</f>
        <v/>
      </c>
      <c r="P10" s="4" t="str">
        <f>IF(AND(YEAR(FebSun1+40)=$A$2,MONTH(FebSun1+40)=2),FebSun1+40, "")</f>
        <v/>
      </c>
      <c r="Q10" s="4" t="str">
        <f>IF(AND(YEAR(FebSun1+41)=$A$2,MONTH(FebSun1+41)=2),FebSun1+41, "")</f>
        <v/>
      </c>
      <c r="S10" s="4" t="str">
        <f>IF(AND(YEAR(MarSun1+35)=$A$2,MONTH(MarSun1+35)=3),MarSun1+35, "")</f>
        <v/>
      </c>
      <c r="T10" s="4" t="str">
        <f>IF(AND(YEAR(MarSun1+36)=$A$2,MONTH(MarSun1+36)=3),MarSun1+36, "")</f>
        <v/>
      </c>
      <c r="U10" s="4" t="str">
        <f>IF(AND(YEAR(MarSun1+37)=$A$2,MONTH(MarSun1+37)=3),MarSun1+37, "")</f>
        <v/>
      </c>
      <c r="V10" s="4" t="str">
        <f>IF(AND(YEAR(MarSun1+38)=$A$2,MONTH(MarSun1+38)=3),MarSun1+38, "")</f>
        <v/>
      </c>
      <c r="W10" s="4" t="str">
        <f>IF(AND(YEAR(MarSun1+39)=$A$2,MONTH(MarSun1+39)=3),MarSun1+39, "")</f>
        <v/>
      </c>
      <c r="X10" s="4" t="str">
        <f>IF(AND(YEAR(MarSun1+40)=$A$2,MONTH(MarSun1+40)=3),MarSun1+40, "")</f>
        <v/>
      </c>
      <c r="Y10" s="4" t="str">
        <f>IF(AND(YEAR(MarSun1+41)=$A$2,MONTH(MarSun1+41)=3),MarSun1+41, "")</f>
        <v/>
      </c>
    </row>
    <row r="11" spans="1:34" ht="15.95" customHeight="1" x14ac:dyDescent="0.2">
      <c r="B11" s="6"/>
      <c r="C11" s="7"/>
      <c r="D11" s="7"/>
      <c r="E11" s="7"/>
      <c r="F11" s="7"/>
      <c r="G11" s="7"/>
      <c r="H11" s="7"/>
      <c r="I11" s="7"/>
      <c r="J11" s="6"/>
      <c r="Z11" s="6"/>
      <c r="AB11" s="31"/>
      <c r="AC11" s="31"/>
      <c r="AD11" s="31"/>
      <c r="AE11" s="31"/>
      <c r="AF11" s="31"/>
      <c r="AG11" s="31"/>
      <c r="AH11" s="31"/>
    </row>
    <row r="12" spans="1:34" ht="15.95" customHeight="1" x14ac:dyDescent="0.2">
      <c r="C12" s="42" t="s">
        <v>8</v>
      </c>
      <c r="D12" s="43"/>
      <c r="E12" s="43"/>
      <c r="F12" s="43"/>
      <c r="G12" s="43"/>
      <c r="H12" s="43"/>
      <c r="I12" s="44"/>
      <c r="K12" s="22" t="s">
        <v>9</v>
      </c>
      <c r="L12" s="23"/>
      <c r="M12" s="23"/>
      <c r="N12" s="23"/>
      <c r="O12" s="23"/>
      <c r="P12" s="23"/>
      <c r="Q12" s="24"/>
      <c r="S12" s="42" t="s">
        <v>10</v>
      </c>
      <c r="T12" s="43"/>
      <c r="U12" s="43"/>
      <c r="V12" s="43"/>
      <c r="W12" s="43"/>
      <c r="X12" s="43"/>
      <c r="Y12" s="44"/>
    </row>
    <row r="13" spans="1:34" ht="24" customHeight="1" x14ac:dyDescent="0.2">
      <c r="B13" s="2"/>
      <c r="C13" s="3" t="s">
        <v>0</v>
      </c>
      <c r="D13" s="3" t="s">
        <v>1</v>
      </c>
      <c r="E13" s="3" t="s">
        <v>2</v>
      </c>
      <c r="F13" s="13" t="s">
        <v>3</v>
      </c>
      <c r="G13" s="13" t="s">
        <v>2</v>
      </c>
      <c r="H13" s="13" t="s">
        <v>4</v>
      </c>
      <c r="I13" s="3" t="s">
        <v>0</v>
      </c>
      <c r="K13" s="3" t="s">
        <v>0</v>
      </c>
      <c r="L13" s="3" t="s">
        <v>1</v>
      </c>
      <c r="M13" s="3" t="s">
        <v>2</v>
      </c>
      <c r="N13" s="13" t="s">
        <v>3</v>
      </c>
      <c r="O13" s="13" t="s">
        <v>2</v>
      </c>
      <c r="P13" s="13" t="s">
        <v>4</v>
      </c>
      <c r="Q13" s="3" t="s">
        <v>0</v>
      </c>
      <c r="S13" s="3" t="s">
        <v>0</v>
      </c>
      <c r="T13" s="3" t="s">
        <v>1</v>
      </c>
      <c r="U13" s="3" t="s">
        <v>2</v>
      </c>
      <c r="V13" s="3" t="s">
        <v>3</v>
      </c>
      <c r="W13" s="3" t="s">
        <v>2</v>
      </c>
      <c r="X13" s="3" t="s">
        <v>4</v>
      </c>
      <c r="Y13" s="3" t="s">
        <v>0</v>
      </c>
    </row>
    <row r="14" spans="1:34" ht="24" customHeight="1" x14ac:dyDescent="0.2">
      <c r="C14" s="4" t="str">
        <f>IF(AND(YEAR(AprSun1)=$A$2,MONTH(AprSun1)=4),AprSun1, "")</f>
        <v/>
      </c>
      <c r="D14" s="4" t="str">
        <f>IF(AND(YEAR(AprSun1+1)=$A$2,MONTH(AprSun1+1)=4),AprSun1+1, "")</f>
        <v/>
      </c>
      <c r="E14" s="10" t="str">
        <f>IF(AND(YEAR(AprSun1+2)=$A$2,MONTH(AprSun1+2)=4),AprSun1+2, "")</f>
        <v/>
      </c>
      <c r="F14" s="19">
        <f>IF(AND(YEAR(AprSun1+3)=$A$2,MONTH(AprSun1+3)=4),AprSun1+3, "")</f>
        <v>43922</v>
      </c>
      <c r="G14" s="4">
        <f>IF(AND(YEAR(AprSun1+4)=$A$2,MONTH(AprSun1+4)=4),AprSun1+4, "")</f>
        <v>43923</v>
      </c>
      <c r="H14" s="4">
        <f>IF(AND(YEAR(AprSun1+5)=$A$2,MONTH(AprSun1+5)=4),AprSun1+5, "")</f>
        <v>43924</v>
      </c>
      <c r="I14" s="15">
        <f>IF(AND(YEAR(AprSun1+6)=$A$2,MONTH(AprSun1+6)=4),AprSun1+6, "")</f>
        <v>43925</v>
      </c>
      <c r="K14" s="4" t="str">
        <f>IF(AND(YEAR(MaySun1)=$A$2,MONTH(MaySun1)=5),MaySun1, "")</f>
        <v/>
      </c>
      <c r="L14" s="19" t="str">
        <f>IF(AND(YEAR(MaySun1+1)=$A$2,MONTH(MaySun1+1)=5),MaySun1+1, "")</f>
        <v/>
      </c>
      <c r="M14" s="25" t="str">
        <f>IF(AND(YEAR(MaySun1+2)=$A$2,MONTH(MaySun1+2)=5),MaySun1+2, "")</f>
        <v/>
      </c>
      <c r="N14" s="19" t="str">
        <f>IF(AND(YEAR(MaySun1+3)=$A$2,MONTH(MaySun1+3)=5),MaySun1+3, "")</f>
        <v/>
      </c>
      <c r="O14" s="4" t="str">
        <f>IF(AND(YEAR(MaySun1+4)=$A$2,MONTH(MaySun1+4)=5),MaySun1+4, "")</f>
        <v/>
      </c>
      <c r="P14" s="4">
        <f>IF(AND(YEAR(MaySun1+5)=$A$2,MONTH(MaySun1+5)=5),MaySun1+5, "")</f>
        <v>43952</v>
      </c>
      <c r="Q14" s="15">
        <f>IF(AND(YEAR(MaySun1+6)=$A$2,MONTH(MaySun1+6)=5),MaySun1+6, "")</f>
        <v>43953</v>
      </c>
      <c r="S14" s="4" t="str">
        <f>IF(AND(YEAR(JunSun1)=$A$2,MONTH(JunSun1)=6),JunSun1, "")</f>
        <v/>
      </c>
      <c r="T14" s="19">
        <f>IF(AND(YEAR(JunSun1+1)=$A$2,MONTH(JunSun1+1)=6),JunSun1+1, "")</f>
        <v>43983</v>
      </c>
      <c r="U14" s="19">
        <f>IF(AND(YEAR(JunSun1+2)=$A$2,MONTH(JunSun1+2)=6),JunSun1+2, "")</f>
        <v>43984</v>
      </c>
      <c r="V14" s="19">
        <f>IF(AND(YEAR(JunSun1+3)=$A$2,MONTH(JunSun1+3)=6),JunSun1+3, "")</f>
        <v>43985</v>
      </c>
      <c r="W14" s="21">
        <f>IF(AND(YEAR(JunSun1+4)=$A$2,MONTH(JunSun1+4)=6),JunSun1+4, "")</f>
        <v>43986</v>
      </c>
      <c r="X14" s="5">
        <f>IF(AND(YEAR(JunSun1+5)=$A$2,MONTH(JunSun1+5)=6),JunSun1+5, "")</f>
        <v>43987</v>
      </c>
      <c r="Y14" s="5">
        <f>IF(AND(YEAR(JunSun1+6)=$A$2,MONTH(JunSun1+6)=6),JunSun1+6, "")</f>
        <v>43988</v>
      </c>
    </row>
    <row r="15" spans="1:34" ht="24" customHeight="1" x14ac:dyDescent="0.2">
      <c r="C15" s="4">
        <f>IF(AND(YEAR(AprSun1+7)=$A$2,MONTH(AprSun1+7)=4),AprSun1+7, "")</f>
        <v>43926</v>
      </c>
      <c r="D15" s="19">
        <f>IF(AND(YEAR(AprSun1+8)=$A$2,MONTH(AprSun1+8)=4),AprSun1+8, "")</f>
        <v>43927</v>
      </c>
      <c r="E15" s="25">
        <f>IF(AND(YEAR(AprSun1+9)=$A$2,MONTH(AprSun1+9)=4),AprSun1+9, "")</f>
        <v>43928</v>
      </c>
      <c r="F15" s="19">
        <f>IF(AND(YEAR(AprSun1+10)=$A$2,MONTH(AprSun1+10)=4),AprSun1+10, "")</f>
        <v>43929</v>
      </c>
      <c r="G15" s="19">
        <f>IF(AND(YEAR(AprSun1+11)=$A$2,MONTH(AprSun1+11)=4),AprSun1+11, "")</f>
        <v>43930</v>
      </c>
      <c r="H15" s="4">
        <f>IF(AND(YEAR(AprSun1+12)=$A$2,MONTH(AprSun1+12)=4),AprSun1+12, "")</f>
        <v>43931</v>
      </c>
      <c r="I15" s="4">
        <f>IF(AND(YEAR(AprSun1+13)=$A$2,MONTH(AprSun1+13)=4),AprSun1+13, "")</f>
        <v>43932</v>
      </c>
      <c r="K15" s="4">
        <f>IF(AND(YEAR(MaySun1+7)=$A$2,MONTH(MaySun1+7)=5),MaySun1+7, "")</f>
        <v>43954</v>
      </c>
      <c r="L15" s="19">
        <f>IF(AND(YEAR(MaySun1+8)=$A$2,MONTH(MaySun1+8)=5),MaySun1+8, "")</f>
        <v>43955</v>
      </c>
      <c r="M15" s="25">
        <f>IF(AND(YEAR(MaySun1+9)=$A$2,MONTH(MaySun1+9)=5),MaySun1+9, "")</f>
        <v>43956</v>
      </c>
      <c r="N15" s="19">
        <f>IF(AND(YEAR(MaySun1+10)=$A$2,MONTH(MaySun1+10)=5),MaySun1+10, "")</f>
        <v>43957</v>
      </c>
      <c r="O15" s="4">
        <f>IF(AND(YEAR(MaySun1+11)=$A$2,MONTH(MaySun1+11)=5),MaySun1+11, "")</f>
        <v>43958</v>
      </c>
      <c r="P15" s="4">
        <f>IF(AND(YEAR(MaySun1+12)=$A$2,MONTH(MaySun1+12)=5),MaySun1+12, "")</f>
        <v>43959</v>
      </c>
      <c r="Q15" s="4">
        <f>IF(AND(YEAR(MaySun1+13)=$A$2,MONTH(MaySun1+13)=5),MaySun1+13, "")</f>
        <v>43960</v>
      </c>
      <c r="S15" s="4">
        <f>IF(AND(YEAR(JunSun1+7)=$A$2,MONTH(JunSun1+7)=6),JunSun1+7, "")</f>
        <v>43989</v>
      </c>
      <c r="T15" s="19">
        <f>IF(AND(YEAR(JunSun1+8)=$A$2,MONTH(JunSun1+8)=6),JunSun1+8, "")</f>
        <v>43990</v>
      </c>
      <c r="U15" s="25">
        <f>IF(AND(YEAR(JunSun1+9)=$A$2,MONTH(JunSun1+9)=6),JunSun1+9, "")</f>
        <v>43991</v>
      </c>
      <c r="V15" s="19">
        <f>IF(AND(YEAR(JunSun1+10)=$A$2,MONTH(JunSun1+10)=6),JunSun1+10, "")</f>
        <v>43992</v>
      </c>
      <c r="W15" s="29">
        <f>IF(AND(YEAR(JunSun1+11)=$A$2,MONTH(JunSun1+11)=6),JunSun1+11, "")</f>
        <v>43993</v>
      </c>
      <c r="X15" s="4">
        <f>IF(AND(YEAR(JunSun1+12)=$A$2,MONTH(JunSun1+12)=6),JunSun1+12, "")</f>
        <v>43994</v>
      </c>
      <c r="Y15" s="4">
        <f>IF(AND(YEAR(JunSun1+13)=$A$2,MONTH(JunSun1+13)=6),JunSun1+13, "")</f>
        <v>43995</v>
      </c>
    </row>
    <row r="16" spans="1:34" ht="24" customHeight="1" x14ac:dyDescent="0.2">
      <c r="C16" s="4">
        <f>IF(AND(YEAR(AprSun1+14)=$A$2,MONTH(AprSun1+14)=4),AprSun1+14, "")</f>
        <v>43933</v>
      </c>
      <c r="D16" s="19">
        <f>IF(AND(YEAR(AprSun1+15)=$A$2,MONTH(AprSun1+15)=4),AprSun1+15, "")</f>
        <v>43934</v>
      </c>
      <c r="E16" s="25">
        <f>IF(AND(YEAR(AprSun1+16)=$A$2,MONTH(AprSun1+16)=4),AprSun1+16, "")</f>
        <v>43935</v>
      </c>
      <c r="F16" s="19">
        <f>IF(AND(YEAR(AprSun1+17)=$A$2,MONTH(AprSun1+17)=4),AprSun1+17, "")</f>
        <v>43936</v>
      </c>
      <c r="G16" s="19">
        <f>IF(AND(YEAR(AprSun1+18)=$A$2,MONTH(AprSun1+18)=4),AprSun1+18, "")</f>
        <v>43937</v>
      </c>
      <c r="H16" s="4">
        <f>IF(AND(YEAR(AprSun1+19)=$A$2,MONTH(AprSun1+19)=4),AprSun1+19, "")</f>
        <v>43938</v>
      </c>
      <c r="I16" s="16">
        <f>IF(AND(YEAR(AprSun1+20)=$A$2,MONTH(AprSun1+20)=4),AprSun1+20, "")</f>
        <v>43939</v>
      </c>
      <c r="K16" s="4">
        <f>IF(AND(YEAR(MaySun1+14)=$A$2,MONTH(MaySun1+14)=5),MaySun1+14, "")</f>
        <v>43961</v>
      </c>
      <c r="L16" s="19">
        <v>11</v>
      </c>
      <c r="M16" s="25">
        <f>IF(AND(YEAR(MaySun1+16)=$A$2,MONTH(MaySun1+16)=5),MaySun1+16, "")</f>
        <v>43963</v>
      </c>
      <c r="N16" s="19">
        <f>IF(AND(YEAR(MaySun1+17)=$A$2,MONTH(MaySun1+17)=5),MaySun1+17, "")</f>
        <v>43964</v>
      </c>
      <c r="O16" s="11">
        <f>IF(AND(YEAR(MaySun1+18)=$A$2,MONTH(MaySun1+18)=5),MaySun1+18, "")</f>
        <v>43965</v>
      </c>
      <c r="P16" s="4">
        <f>IF(AND(YEAR(MaySun1+19)=$A$2,MONTH(MaySun1+19)=5),MaySun1+19, "")</f>
        <v>43966</v>
      </c>
      <c r="Q16" s="16">
        <f>IF(AND(YEAR(MaySun1+20)=$A$2,MONTH(MaySun1+20)=5),MaySun1+20, "")</f>
        <v>43967</v>
      </c>
      <c r="S16" s="4">
        <f>IF(AND(YEAR(JunSun1+14)=$A$2,MONTH(JunSun1+14)=6),JunSun1+14, "")</f>
        <v>43996</v>
      </c>
      <c r="T16" s="40">
        <f>IF(AND(YEAR(JunSun1+15)=$A$2,MONTH(JunSun1+15)=6),JunSun1+15, "")</f>
        <v>43997</v>
      </c>
      <c r="U16" s="19">
        <f>IF(AND(YEAR(JunSun1+16)=$A$2,MONTH(JunSun1+16)=6),JunSun1+16, "")</f>
        <v>43998</v>
      </c>
      <c r="V16" s="19">
        <f>IF(AND(YEAR(JunSun1+17)=$A$2,MONTH(JunSun1+17)=6),JunSun1+17, "")</f>
        <v>43999</v>
      </c>
      <c r="W16" s="19">
        <f>IF(AND(YEAR(JunSun1+18)=$A$2,MONTH(JunSun1+18)=6),JunSun1+18, "")</f>
        <v>44000</v>
      </c>
      <c r="X16" s="4">
        <f>IF(AND(YEAR(JunSun1+19)=$A$2,MONTH(JunSun1+19)=6),JunSun1+19, "")</f>
        <v>44001</v>
      </c>
      <c r="Y16" s="16">
        <f>IF(AND(YEAR(JunSun1+20)=$A$2,MONTH(JunSun1+20)=6),JunSun1+20, "")</f>
        <v>44002</v>
      </c>
    </row>
    <row r="17" spans="2:42" ht="24" customHeight="1" x14ac:dyDescent="0.2">
      <c r="C17" s="4">
        <f>IF(AND(YEAR(AprSun1+21)=$A$2,MONTH(AprSun1+21)=4),AprSun1+21, "")</f>
        <v>43940</v>
      </c>
      <c r="D17" s="40">
        <f>IF(AND(YEAR(AprSun1+22)=$A$2,MONTH(AprSun1+22)=4),AprSun1+22, "")</f>
        <v>43941</v>
      </c>
      <c r="E17" s="25">
        <f>IF(AND(YEAR(AprSun1+23)=$A$2,MONTH(AprSun1+23)=4),AprSun1+23, "")</f>
        <v>43942</v>
      </c>
      <c r="F17" s="19">
        <f>IF(AND(YEAR(AprSun1+24)=$A$2,MONTH(AprSun1+24)=4),AprSun1+24, "")</f>
        <v>43943</v>
      </c>
      <c r="G17" s="19">
        <f>IF(AND(YEAR(AprSun1+25)=$A$2,MONTH(AprSun1+25)=4),AprSun1+25, "")</f>
        <v>43944</v>
      </c>
      <c r="H17" s="4">
        <f>IF(AND(YEAR(AprSun1+26)=$A$2,MONTH(AprSun1+26)=4),AprSun1+26, "")</f>
        <v>43945</v>
      </c>
      <c r="I17" s="11">
        <f>IF(AND(YEAR(AprSun1+27)=$A$2,MONTH(AprSun1+27)=4),AprSun1+27, "")</f>
        <v>43946</v>
      </c>
      <c r="K17" s="4">
        <f>IF(AND(YEAR(MaySun1+21)=$A$2,MONTH(MaySun1+21)=5),MaySun1+21, "")</f>
        <v>43968</v>
      </c>
      <c r="L17" s="40">
        <v>18</v>
      </c>
      <c r="M17" s="25">
        <f>IF(AND(YEAR(MaySun1+23)=$A$2,MONTH(MaySun1+23)=5),MaySun1+23, "")</f>
        <v>43970</v>
      </c>
      <c r="N17" s="19">
        <f>IF(AND(YEAR(MaySun1+24)=$A$2,MONTH(MaySun1+24)=5),MaySun1+24, "")</f>
        <v>43971</v>
      </c>
      <c r="O17" s="4">
        <f>IF(AND(YEAR(MaySun1+25)=$A$2,MONTH(MaySun1+25)=5),MaySun1+25, "")</f>
        <v>43972</v>
      </c>
      <c r="P17" s="4">
        <f>IF(AND(YEAR(MaySun1+26)=$A$2,MONTH(MaySun1+26)=5),MaySun1+26, "")</f>
        <v>43973</v>
      </c>
      <c r="Q17" s="11">
        <f>IF(AND(YEAR(MaySun1+27)=$A$2,MONTH(MaySun1+27)=5),MaySun1+27, "")</f>
        <v>43974</v>
      </c>
      <c r="S17" s="4">
        <f>IF(AND(YEAR(JunSun1+21)=$A$2,MONTH(JunSun1+21)=6),JunSun1+21, "")</f>
        <v>44003</v>
      </c>
      <c r="T17" s="19">
        <f>IF(AND(YEAR(JunSun1+22)=$A$2,MONTH(JunSun1+22)=6),JunSun1+22, "")</f>
        <v>44004</v>
      </c>
      <c r="U17" s="25">
        <f>IF(AND(YEAR(JunSun1+23)=$A$2,MONTH(JunSun1+23)=6),JunSun1+23, "")</f>
        <v>44005</v>
      </c>
      <c r="V17" s="19">
        <f>IF(AND(YEAR(JunSun1+24)=$A$2,MONTH(JunSun1+24)=6),JunSun1+24, "")</f>
        <v>44006</v>
      </c>
      <c r="W17" s="19">
        <f>IF(AND(YEAR(JunSun1+25)=$A$2,MONTH(JunSun1+25)=6),JunSun1+25, "")</f>
        <v>44007</v>
      </c>
      <c r="X17" s="4">
        <f>IF(AND(YEAR(JunSun1+26)=$A$2,MONTH(JunSun1+26)=6),JunSun1+26, "")</f>
        <v>44008</v>
      </c>
      <c r="Y17" s="11">
        <f>IF(AND(YEAR(JunSun1+27)=$A$2,MONTH(JunSun1+27)=6),JunSun1+27, "")</f>
        <v>44009</v>
      </c>
    </row>
    <row r="18" spans="2:42" ht="24" customHeight="1" x14ac:dyDescent="0.2">
      <c r="C18" s="4">
        <f>IF(AND(YEAR(AprSun1+28)=$A$2,MONTH(AprSun1+28)=4),AprSun1+28, "")</f>
        <v>43947</v>
      </c>
      <c r="D18" s="19">
        <f>IF(AND(YEAR(AprSun1+29)=$A$2,MONTH(AprSun1+29)=4),AprSun1+29, "")</f>
        <v>43948</v>
      </c>
      <c r="E18" s="25">
        <f>IF(AND(YEAR(AprSun1+30)=$A$2,MONTH(AprSun1+30)=4),AprSun1+30, "")</f>
        <v>43949</v>
      </c>
      <c r="F18" s="19">
        <f>IF(AND(YEAR(AprSun1+31)=$A$2,MONTH(AprSun1+31)=4),AprSun1+31, "")</f>
        <v>43950</v>
      </c>
      <c r="G18" s="19">
        <f>IF(AND(YEAR(AprSun1+32)=$A$2,MONTH(AprSun1+32)=4),AprSun1+32, "")</f>
        <v>43951</v>
      </c>
      <c r="H18" s="4" t="str">
        <f>IF(AND(YEAR(AprSun1+33)=$A$2,MONTH(AprSun1+33)=4),AprSun1+33, "")</f>
        <v/>
      </c>
      <c r="I18" s="11" t="str">
        <f>IF(AND(YEAR(AprSun1+34)=$A$2,MONTH(AprSun1+34)=4),AprSun1+34, "")</f>
        <v/>
      </c>
      <c r="K18" s="4">
        <f>IF(AND(YEAR(MaySun1+28)=$A$2,MONTH(MaySun1+28)=5),MaySun1+28, "")</f>
        <v>43975</v>
      </c>
      <c r="L18" s="19">
        <f>IF(AND(YEAR(MaySun1+29)=$A$2,MONTH(MaySun1+29)=5),MaySun1+29, "")</f>
        <v>43976</v>
      </c>
      <c r="M18" s="25">
        <f>IF(AND(YEAR(MaySun1+30)=$A$2,MONTH(MaySun1+30)=5),MaySun1+30, "")</f>
        <v>43977</v>
      </c>
      <c r="N18" s="19">
        <f>IF(AND(YEAR(MaySun1+31)=$A$2,MONTH(MaySun1+31)=5),MaySun1+31, "")</f>
        <v>43978</v>
      </c>
      <c r="O18" s="19">
        <f>IF(AND(YEAR(MaySun1+32)=$A$2,MONTH(MaySun1+32)=5),MaySun1+32, "")</f>
        <v>43979</v>
      </c>
      <c r="P18" s="4">
        <f>IF(AND(YEAR(MaySun1+33)=$A$2,MONTH(MaySun1+33)=5),MaySun1+33, "")</f>
        <v>43980</v>
      </c>
      <c r="Q18" s="11">
        <f>IF(AND(YEAR(MaySun1+34)=$A$2,MONTH(MaySun1+34)=5),MaySun1+34, "")</f>
        <v>43981</v>
      </c>
      <c r="S18" s="4">
        <f>IF(AND(YEAR(JunSun1+28)=$A$2,MONTH(JunSun1+28)=6),JunSun1+28, "")</f>
        <v>44010</v>
      </c>
      <c r="T18" s="19">
        <f>IF(AND(YEAR(JunSun1+29)=$A$2,MONTH(JunSun1+29)=6),JunSun1+29, "")</f>
        <v>44011</v>
      </c>
      <c r="U18" s="19">
        <f>IF(AND(YEAR(JunSun1+30)=$A$2,MONTH(JunSun1+30)=6),JunSun1+30, "")</f>
        <v>44012</v>
      </c>
      <c r="V18" s="27" t="str">
        <f>IF(AND(YEAR(JunSun1+31)=$A$2,MONTH(JunSun1+31)=6),JunSun1+31, "")</f>
        <v/>
      </c>
      <c r="W18" s="27" t="str">
        <f>IF(AND(YEAR(JunSun1+32)=$A$2,MONTH(JunSun1+32)=6),JunSun1+32, "")</f>
        <v/>
      </c>
      <c r="X18" s="14" t="str">
        <f>IF(AND(YEAR(JunSun1+33)=$A$2,MONTH(JunSun1+33)=6),JunSun1+33, "")</f>
        <v/>
      </c>
      <c r="Y18" s="4" t="str">
        <f>IF(AND(YEAR(JunSun1+34)=$A$2,MONTH(JunSun1+34)=6),JunSun1+34, "")</f>
        <v/>
      </c>
    </row>
    <row r="19" spans="2:42" ht="24" customHeight="1" x14ac:dyDescent="0.2">
      <c r="C19" s="4" t="str">
        <f>IF(AND(YEAR(AprSun1+35)=$A$2,MONTH(AprSun1+35)=4),AprSun1+35, "")</f>
        <v/>
      </c>
      <c r="D19" s="4" t="str">
        <f>IF(AND(YEAR(AprSun1+36)=$A$2,MONTH(AprSun1+36)=4),AprSun1+36, "")</f>
        <v/>
      </c>
      <c r="E19" s="4" t="str">
        <f>IF(AND(YEAR(AprSun1+37)=$A$2,MONTH(AprSun1+37)=4),AprSun1+37, "")</f>
        <v/>
      </c>
      <c r="F19" s="4" t="str">
        <f>IF(AND(YEAR(AprSun1+38)=$A$2,MONTH(AprSun1+38)=4),AprSun1+38, "")</f>
        <v/>
      </c>
      <c r="G19" s="4" t="str">
        <f>IF(AND(YEAR(AprSun1+39)=$A$2,MONTH(AprSun1+39)=4),AprSun1+39, "")</f>
        <v/>
      </c>
      <c r="H19" s="4" t="str">
        <f>IF(AND(YEAR(AprSun1+40)=$A$2,MONTH(AprSun1+40)=4),AprSun1+40, "")</f>
        <v/>
      </c>
      <c r="I19" s="4" t="str">
        <f>IF(AND(YEAR(AprSun1+41)=$A$2,MONTH(AprSun1+41)=4),AprSun1+41, "")</f>
        <v/>
      </c>
      <c r="K19" s="4">
        <f>IF(AND(YEAR(MaySun1+35)=$A$2,MONTH(MaySun1+35)=5),MaySun1+35, "")</f>
        <v>43982</v>
      </c>
      <c r="L19" s="4" t="str">
        <f>IF(AND(YEAR(MaySun1+36)=$A$2,MONTH(MaySun1+36)=5),MaySun1+36, "")</f>
        <v/>
      </c>
      <c r="M19" s="4" t="str">
        <f>IF(AND(YEAR(MaySun1+37)=$A$2,MONTH(MaySun1+37)=5),MaySun1+37, "")</f>
        <v/>
      </c>
      <c r="N19" s="4" t="str">
        <f>IF(AND(YEAR(MaySun1+38)=$A$2,MONTH(MaySun1+38)=5),MaySun1+38, "")</f>
        <v/>
      </c>
      <c r="O19" s="4" t="str">
        <f>IF(AND(YEAR(MaySun1+39)=$A$2,MONTH(MaySun1+39)=5),MaySun1+39, "")</f>
        <v/>
      </c>
      <c r="P19" s="4" t="str">
        <f>IF(AND(YEAR(MaySun1+40)=$A$2,MONTH(MaySun1+40)=5),MaySun1+40, "")</f>
        <v/>
      </c>
      <c r="Q19" s="4" t="str">
        <f>IF(AND(YEAR(MaySun1+41)=$A$2,MONTH(MaySun1+41)=5),MaySun1+41, "")</f>
        <v/>
      </c>
      <c r="S19" s="4" t="str">
        <f>IF(AND(YEAR(JunSun1+35)=$A$2,MONTH(JunSun1+35)=6),JunSun1+35, "")</f>
        <v/>
      </c>
      <c r="T19" s="4" t="str">
        <f>IF(AND(YEAR(JunSun1+36)=$A$2,MONTH(JunSun1+36)=6),JunSun1+36, "")</f>
        <v/>
      </c>
      <c r="U19" s="4" t="str">
        <f>IF(AND(YEAR(JunSun1+37)=$A$2,MONTH(JunSun1+37)=6),JunSun1+37, "")</f>
        <v/>
      </c>
      <c r="V19" s="4" t="str">
        <f>IF(AND(YEAR(JunSun1+38)=$A$2,MONTH(JunSun1+38)=6),JunSun1+38, "")</f>
        <v/>
      </c>
      <c r="W19" s="4" t="str">
        <f>IF(AND(YEAR(JunSun1+39)=$A$2,MONTH(JunSun1+39)=6),JunSun1+39, "")</f>
        <v/>
      </c>
      <c r="X19" s="4" t="str">
        <f>IF(AND(YEAR(JunSun1+40)=$A$2,MONTH(JunSun1+40)=6),JunSun1+40, "")</f>
        <v/>
      </c>
      <c r="Y19" s="4" t="str">
        <f>IF(AND(YEAR(JunSun1+41)=$A$2,MONTH(JunSun1+41)=6),JunSun1+41, "")</f>
        <v/>
      </c>
    </row>
    <row r="20" spans="2:42" ht="15.95" customHeight="1" x14ac:dyDescent="0.2">
      <c r="B20" s="6"/>
      <c r="C20" s="31"/>
      <c r="D20" s="31"/>
      <c r="E20" s="31"/>
      <c r="F20" s="31"/>
      <c r="G20" s="31"/>
      <c r="H20" s="31"/>
      <c r="I20" s="31"/>
      <c r="J20" s="6"/>
      <c r="Z20" s="6"/>
      <c r="AJ20" s="31"/>
      <c r="AK20" s="31"/>
      <c r="AL20" s="31"/>
      <c r="AM20" s="31"/>
      <c r="AN20" s="31"/>
      <c r="AO20" s="31"/>
      <c r="AP20" s="31"/>
    </row>
    <row r="21" spans="2:42" ht="15.95" customHeight="1" x14ac:dyDescent="0.2">
      <c r="C21" s="42" t="s">
        <v>11</v>
      </c>
      <c r="D21" s="43"/>
      <c r="E21" s="43"/>
      <c r="F21" s="43"/>
      <c r="G21" s="43"/>
      <c r="H21" s="43"/>
      <c r="I21" s="44"/>
      <c r="K21" s="42" t="s">
        <v>14</v>
      </c>
      <c r="L21" s="43"/>
      <c r="M21" s="43"/>
      <c r="N21" s="43"/>
      <c r="O21" s="43"/>
      <c r="P21" s="43"/>
      <c r="Q21" s="44"/>
      <c r="S21" s="42" t="s">
        <v>12</v>
      </c>
      <c r="T21" s="43"/>
      <c r="U21" s="43"/>
      <c r="V21" s="43"/>
      <c r="W21" s="43"/>
      <c r="X21" s="43"/>
      <c r="Y21" s="44"/>
    </row>
    <row r="22" spans="2:42" ht="24" customHeight="1" x14ac:dyDescent="0.2">
      <c r="B22" s="2"/>
      <c r="C22" s="3" t="s">
        <v>0</v>
      </c>
      <c r="D22" s="3" t="s">
        <v>1</v>
      </c>
      <c r="E22" s="3" t="s">
        <v>2</v>
      </c>
      <c r="F22" s="3" t="s">
        <v>3</v>
      </c>
      <c r="G22" s="3" t="s">
        <v>2</v>
      </c>
      <c r="H22" s="3" t="s">
        <v>4</v>
      </c>
      <c r="I22" s="3" t="s">
        <v>0</v>
      </c>
      <c r="K22" s="3" t="s">
        <v>0</v>
      </c>
      <c r="L22" s="3" t="s">
        <v>1</v>
      </c>
      <c r="M22" s="3" t="s">
        <v>2</v>
      </c>
      <c r="N22" s="3" t="s">
        <v>3</v>
      </c>
      <c r="O22" s="3" t="s">
        <v>2</v>
      </c>
      <c r="P22" s="3" t="s">
        <v>4</v>
      </c>
      <c r="Q22" s="3" t="s">
        <v>0</v>
      </c>
      <c r="S22" s="3" t="s">
        <v>0</v>
      </c>
      <c r="T22" s="3" t="s">
        <v>1</v>
      </c>
      <c r="U22" s="3" t="s">
        <v>2</v>
      </c>
      <c r="V22" s="13" t="s">
        <v>3</v>
      </c>
      <c r="W22" s="13" t="s">
        <v>2</v>
      </c>
      <c r="X22" s="13" t="s">
        <v>4</v>
      </c>
      <c r="Y22" s="3" t="s">
        <v>0</v>
      </c>
    </row>
    <row r="23" spans="2:42" ht="24" customHeight="1" x14ac:dyDescent="0.2">
      <c r="C23" s="4" t="str">
        <f>IF(AND(YEAR(JulSun1)=$A$2,MONTH(JulSun1)=7),JulSun1, "")</f>
        <v/>
      </c>
      <c r="D23" s="4" t="str">
        <f>IF(AND(YEAR(JulSun1+1)=$A$2,MONTH(JulSun1+1)=7),JulSun1+1, "")</f>
        <v/>
      </c>
      <c r="E23" s="4" t="str">
        <f>IF(AND(YEAR(JulSun1+2)=$A$2,MONTH(JulSun1+2)=7),JulSun1+2, "")</f>
        <v/>
      </c>
      <c r="F23" s="19">
        <f>IF(AND(YEAR(JulSun1+3)=$A$2,MONTH(JulSun1+3)=7),JulSun1+3, "")</f>
        <v>44013</v>
      </c>
      <c r="G23" s="5">
        <f>IF(AND(YEAR(JulSun1+4)=$A$2,MONTH(JulSun1+4)=7),JulSun1+4, "")</f>
        <v>44014</v>
      </c>
      <c r="H23" s="5">
        <f>IF(AND(YEAR(JulSun1+5)=$A$2,MONTH(JulSun1+5)=7),JulSun1+5, "")</f>
        <v>44015</v>
      </c>
      <c r="I23" s="19">
        <f>IF(AND(YEAR(JulSun1+6)=$A$2,MONTH(JulSun1+6)=7),JulSun1+6, "")</f>
        <v>44016</v>
      </c>
      <c r="K23" s="4" t="str">
        <f>IF(AND(YEAR(AugSun1)=$A$2,MONTH(AugSun1)=8),AugSun1, "")</f>
        <v/>
      </c>
      <c r="L23" s="19" t="str">
        <f>IF(AND(YEAR(AugSun1+1)=$A$2,MONTH(AugSun1+1)=8),AugSun1+1, "")</f>
        <v/>
      </c>
      <c r="M23" s="19" t="str">
        <f>IF(AND(YEAR(AugSun1+2)=$A$2,MONTH(AugSun1+2)=8),AugSun1+2, "")</f>
        <v/>
      </c>
      <c r="N23" s="21" t="str">
        <f>IF(AND(YEAR(AugSun1+3)=$A$2,MONTH(AugSun1+3)=8),AugSun1+3, "")</f>
        <v/>
      </c>
      <c r="O23" s="5" t="str">
        <f>IF(AND(YEAR(AugSun1+4)=$A$2,MONTH(AugSun1+4)=8),AugSun1+4, "")</f>
        <v/>
      </c>
      <c r="P23" s="5" t="str">
        <f>IF(AND(YEAR(AugSun1+5)=$A$2,MONTH(AugSun1+5)=8),AugSun1+5, "")</f>
        <v/>
      </c>
      <c r="Q23" s="5">
        <f>IF(AND(YEAR(AugSun1+6)=$A$2,MONTH(AugSun1+6)=8),AugSun1+6, "")</f>
        <v>44044</v>
      </c>
      <c r="S23" s="4" t="str">
        <f>IF(AND(YEAR(SepSun1)=$A$2,MONTH(SepSun1)=9),SepSun1, "")</f>
        <v/>
      </c>
      <c r="T23" s="4" t="str">
        <f>IF(AND(YEAR(SepSun1+1)=$A$2,MONTH(SepSun1+1)=9),SepSun1+1, "")</f>
        <v/>
      </c>
      <c r="U23" s="20">
        <f>IF(AND(YEAR(SepSun1+2)=$A$2,MONTH(SepSun1+2)=9),SepSun1+2, "")</f>
        <v>44075</v>
      </c>
      <c r="V23" s="21">
        <f>IF(AND(YEAR(SepSun1+3)=$A$2,MONTH(SepSun1+3)=9),SepSun1+3, "")</f>
        <v>44076</v>
      </c>
      <c r="W23" s="5">
        <f>IF(AND(YEAR(SepSun1+4)=$A$2,MONTH(SepSun1+4)=9),SepSun1+4, "")</f>
        <v>44077</v>
      </c>
      <c r="X23" s="4">
        <f>IF(AND(YEAR(SepSun1+5)=$A$2,MONTH(SepSun1+5)=9),SepSun1+5, "")</f>
        <v>44078</v>
      </c>
      <c r="Y23" s="15">
        <f>IF(AND(YEAR(SepSun1+6)=$A$2,MONTH(SepSun1+6)=9),SepSun1+6, "")</f>
        <v>44079</v>
      </c>
    </row>
    <row r="24" spans="2:42" ht="24" customHeight="1" x14ac:dyDescent="0.2">
      <c r="C24" s="4">
        <f>IF(AND(YEAR(JulSun1+7)=$A$2,MONTH(JulSun1+7)=7),JulSun1+7, "")</f>
        <v>44017</v>
      </c>
      <c r="D24" s="19">
        <f>IF(AND(YEAR(JulSun1+8)=$A$2,MONTH(JulSun1+8)=7),JulSun1+8, "")</f>
        <v>44018</v>
      </c>
      <c r="E24" s="25">
        <f>IF(AND(YEAR(JulSun1+9)=$A$2,MONTH(JulSun1+9)=7),JulSun1+9, "")</f>
        <v>44019</v>
      </c>
      <c r="F24" s="19">
        <f>IF(AND(YEAR(JulSun1+10)=$A$2,MONTH(JulSun1+10)=7),JulSun1+10, "")</f>
        <v>44020</v>
      </c>
      <c r="G24" s="19">
        <f>IF(AND(YEAR(JulSun1+11)=$A$2,MONTH(JulSun1+11)=7),JulSun1+11, "")</f>
        <v>44021</v>
      </c>
      <c r="H24" s="4">
        <f>IF(AND(YEAR(JulSun1+12)=$A$2,MONTH(JulSun1+12)=7),JulSun1+12, "")</f>
        <v>44022</v>
      </c>
      <c r="I24" s="11">
        <f>IF(AND(YEAR(JulSun1+13)=$A$2,MONTH(JulSun1+13)=7),JulSun1+13, "")</f>
        <v>44023</v>
      </c>
      <c r="K24" s="4">
        <f>IF(AND(YEAR(AugSun1+7)=$A$2,MONTH(AugSun1+7)=8),AugSun1+7, "")</f>
        <v>44045</v>
      </c>
      <c r="L24" s="40">
        <v>3</v>
      </c>
      <c r="M24" s="20">
        <f>IF(AND(YEAR(AugSun1+9)=$A$2,MONTH(AugSun1+9)=8),AugSun1+9, "")</f>
        <v>44047</v>
      </c>
      <c r="N24" s="21">
        <f>IF(AND(YEAR(AugSun1+10)=$A$2,MONTH(AugSun1+10)=8),AugSun1+10, "")</f>
        <v>44048</v>
      </c>
      <c r="O24" s="4">
        <f>IF(AND(YEAR(AugSun1+11)=$A$2,MONTH(AugSun1+11)=8),AugSun1+11, "")</f>
        <v>44049</v>
      </c>
      <c r="P24" s="4">
        <f>IF(AND(YEAR(AugSun1+12)=$A$2,MONTH(AugSun1+12)=8),AugSun1+12, "")</f>
        <v>44050</v>
      </c>
      <c r="Q24" s="4">
        <f>IF(AND(YEAR(AugSun1+13)=$A$2,MONTH(AugSun1+13)=8),AugSun1+13, "")</f>
        <v>44051</v>
      </c>
      <c r="S24" s="4">
        <f>IF(AND(YEAR(SepSun1+7)=$A$2,MONTH(SepSun1+7)=9),SepSun1+7, "")</f>
        <v>44080</v>
      </c>
      <c r="T24" s="19">
        <f>IF(AND(YEAR(SepSun1+8)=$A$2,MONTH(SepSun1+8)=9),SepSun1+8, "")</f>
        <v>44081</v>
      </c>
      <c r="U24" s="19">
        <f>IF(AND(YEAR(SepSun1+9)=$A$2,MONTH(SepSun1+9)=9),SepSun1+9, "")</f>
        <v>44082</v>
      </c>
      <c r="V24" s="19">
        <f>IF(AND(YEAR(SepSun1+10)=$A$2,MONTH(SepSun1+10)=9),SepSun1+10, "")</f>
        <v>44083</v>
      </c>
      <c r="W24" s="19">
        <f>IF(AND(YEAR(SepSun1+11)=$A$2,MONTH(SepSun1+11)=9),SepSun1+11, "")</f>
        <v>44084</v>
      </c>
      <c r="X24" s="4">
        <f>IF(AND(YEAR(SepSun1+12)=$A$2,MONTH(SepSun1+12)=9),SepSun1+12, "")</f>
        <v>44085</v>
      </c>
      <c r="Y24" s="4">
        <f>IF(AND(YEAR(SepSun1+13)=$A$2,MONTH(SepSun1+13)=9),SepSun1+13, "")</f>
        <v>44086</v>
      </c>
    </row>
    <row r="25" spans="2:42" ht="24" customHeight="1" x14ac:dyDescent="0.2">
      <c r="C25" s="4">
        <f>IF(AND(YEAR(JulSun1+14)=$A$2,MONTH(JulSun1+14)=7),JulSun1+14, "")</f>
        <v>44024</v>
      </c>
      <c r="D25" s="40">
        <f>IF(AND(YEAR(JulSun1+15)=$A$2,MONTH(JulSun1+15)=7),JulSun1+15, "")</f>
        <v>44025</v>
      </c>
      <c r="E25" s="19">
        <f>IF(AND(YEAR(JulSun1+16)=$A$2,MONTH(JulSun1+16)=7),JulSun1+16, "")</f>
        <v>44026</v>
      </c>
      <c r="F25" s="19">
        <f>IF(AND(YEAR(JulSun1+17)=$A$2,MONTH(JulSun1+17)=7),JulSun1+17, "")</f>
        <v>44027</v>
      </c>
      <c r="G25" s="19">
        <f>IF(AND(YEAR(JulSun1+18)=$A$2,MONTH(JulSun1+18)=7),JulSun1+18, "")</f>
        <v>44028</v>
      </c>
      <c r="H25" s="4">
        <f>IF(AND(YEAR(JulSun1+19)=$A$2,MONTH(JulSun1+19)=7),JulSun1+19, "")</f>
        <v>44029</v>
      </c>
      <c r="I25" s="11">
        <f>IF(AND(YEAR(JulSun1+20)=$A$2,MONTH(JulSun1+20)=7),JulSun1+20, "")</f>
        <v>44030</v>
      </c>
      <c r="K25" s="4">
        <f>IF(AND(YEAR(AugSun1+14)=$A$2,MONTH(AugSun1+14)=8),AugSun1+14, "")</f>
        <v>44052</v>
      </c>
      <c r="L25" s="4">
        <v>12</v>
      </c>
      <c r="M25" s="19">
        <f>IF(AND(YEAR(AugSun1+16)=$A$2,MONTH(AugSun1+16)=8),AugSun1+16, "")</f>
        <v>44054</v>
      </c>
      <c r="N25" s="19">
        <f>IF(AND(YEAR(AugSun1+17)=$A$2,MONTH(AugSun1+17)=8),AugSun1+17, "")</f>
        <v>44055</v>
      </c>
      <c r="O25" s="11">
        <f>IF(AND(YEAR(AugSun1+18)=$A$2,MONTH(AugSun1+18)=8),AugSun1+18, "")</f>
        <v>44056</v>
      </c>
      <c r="P25" s="4">
        <f>IF(AND(YEAR(AugSun1+19)=$A$2,MONTH(AugSun1+19)=8),AugSun1+19, "")</f>
        <v>44057</v>
      </c>
      <c r="Q25" s="16">
        <f>IF(AND(YEAR(AugSun1+20)=$A$2,MONTH(AugSun1+20)=8),AugSun1+20, "")</f>
        <v>44058</v>
      </c>
      <c r="S25" s="4">
        <f>IF(AND(YEAR(SepSun1+14)=$A$2,MONTH(SepSun1+14)=9),SepSun1+14, "")</f>
        <v>44087</v>
      </c>
      <c r="T25" s="40">
        <v>16</v>
      </c>
      <c r="U25" s="28">
        <f>IF(AND(YEAR(SepSun1+16)=$A$2,MONTH(SepSun1+16)=9),SepSun1+16, "")</f>
        <v>44089</v>
      </c>
      <c r="V25" s="27">
        <f>IF(AND(YEAR(SepSun1+17)=$A$2,MONTH(SepSun1+17)=9),SepSun1+17, "")</f>
        <v>44090</v>
      </c>
      <c r="W25" s="27">
        <f>IF(AND(YEAR(SepSun1+18)=$A$2,MONTH(SepSun1+18)=9),SepSun1+18, "")</f>
        <v>44091</v>
      </c>
      <c r="X25" s="4">
        <f>IF(AND(YEAR(SepSun1+19)=$A$2,MONTH(SepSun1+19)=9),SepSun1+19, "")</f>
        <v>44092</v>
      </c>
      <c r="Y25" s="16">
        <f>IF(AND(YEAR(SepSun1+20)=$A$2,MONTH(SepSun1+20)=9),SepSun1+20, "")</f>
        <v>44093</v>
      </c>
    </row>
    <row r="26" spans="2:42" ht="24" customHeight="1" x14ac:dyDescent="0.2">
      <c r="C26" s="4">
        <f>IF(AND(YEAR(JulSun1+21)=$A$2,MONTH(JulSun1+21)=7),JulSun1+21, "")</f>
        <v>44031</v>
      </c>
      <c r="D26" s="19">
        <f>IF(AND(YEAR(JulSun1+22)=$A$2,MONTH(JulSun1+22)=7),JulSun1+22, "")</f>
        <v>44032</v>
      </c>
      <c r="E26" s="25">
        <f>IF(AND(YEAR(JulSun1+23)=$A$2,MONTH(JulSun1+23)=7),JulSun1+23, "")</f>
        <v>44033</v>
      </c>
      <c r="F26" s="19">
        <f>IF(AND(YEAR(JulSun1+24)=$A$2,MONTH(JulSun1+24)=7),JulSun1+24, "")</f>
        <v>44034</v>
      </c>
      <c r="G26" s="19">
        <f>IF(AND(YEAR(JulSun1+25)=$A$2,MONTH(JulSun1+25)=7),JulSun1+25, "")</f>
        <v>44035</v>
      </c>
      <c r="H26" s="4">
        <f>IF(AND(YEAR(JulSun1+26)=$A$2,MONTH(JulSun1+26)=7),JulSun1+26, "")</f>
        <v>44036</v>
      </c>
      <c r="I26" s="11">
        <f>IF(AND(YEAR(JulSun1+27)=$A$2,MONTH(JulSun1+27)=7),JulSun1+27, "")</f>
        <v>44037</v>
      </c>
      <c r="K26" s="4">
        <f>IF(AND(YEAR(AugSun1+21)=$A$2,MONTH(AugSun1+21)=8),AugSun1+21, "")</f>
        <v>44059</v>
      </c>
      <c r="L26" s="27">
        <f>IF(AND(YEAR(AugSun1+22)=$A$2,MONTH(AugSun1+22)=8),AugSun1+22, "")</f>
        <v>44060</v>
      </c>
      <c r="M26" s="28">
        <f>IF(AND(YEAR(AugSun1+23)=$A$2,MONTH(AugSun1+23)=8),AugSun1+23, "")</f>
        <v>44061</v>
      </c>
      <c r="N26" s="27">
        <f>IF(AND(YEAR(AugSun1+24)=$A$2,MONTH(AugSun1+24)=8),AugSun1+24, "")</f>
        <v>44062</v>
      </c>
      <c r="O26" s="4">
        <f>IF(AND(YEAR(AugSun1+25)=$A$2,MONTH(AugSun1+25)=8),AugSun1+25, "")</f>
        <v>44063</v>
      </c>
      <c r="P26" s="4">
        <f>IF(AND(YEAR(AugSun1+26)=$A$2,MONTH(AugSun1+26)=8),AugSun1+26, "")</f>
        <v>44064</v>
      </c>
      <c r="Q26" s="11">
        <f>IF(AND(YEAR(AugSun1+27)=$A$2,MONTH(AugSun1+27)=8),AugSun1+27, "")</f>
        <v>44065</v>
      </c>
      <c r="S26" s="4">
        <f>IF(AND(YEAR(SepSun1+21)=$A$2,MONTH(SepSun1+21)=9),SepSun1+21, "")</f>
        <v>44094</v>
      </c>
      <c r="T26" s="27">
        <v>23</v>
      </c>
      <c r="U26" s="25">
        <f>IF(AND(YEAR(SepSun1+23)=$A$2,MONTH(SepSun1+23)=9),SepSun1+23, "")</f>
        <v>44096</v>
      </c>
      <c r="V26" s="19">
        <f>IF(AND(YEAR(SepSun1+24)=$A$2,MONTH(SepSun1+24)=9),SepSun1+24, "")</f>
        <v>44097</v>
      </c>
      <c r="W26" s="19">
        <f>IF(AND(YEAR(SepSun1+25)=$A$2,MONTH(SepSun1+25)=9),SepSun1+25, "")</f>
        <v>44098</v>
      </c>
      <c r="X26" s="4">
        <f>IF(AND(YEAR(SepSun1+26)=$A$2,MONTH(SepSun1+26)=9),SepSun1+26, "")</f>
        <v>44099</v>
      </c>
      <c r="Y26" s="11">
        <f>IF(AND(YEAR(SepSun1+27)=$A$2,MONTH(SepSun1+27)=9),SepSun1+27, "")</f>
        <v>44100</v>
      </c>
    </row>
    <row r="27" spans="2:42" ht="24" customHeight="1" x14ac:dyDescent="0.2">
      <c r="C27" s="4">
        <f>IF(AND(YEAR(JulSun1+28)=$A$2,MONTH(JulSun1+28)=7),JulSun1+28, "")</f>
        <v>44038</v>
      </c>
      <c r="D27" s="19">
        <f>IF(AND(YEAR(JulSun1+29)=$A$2,MONTH(JulSun1+29)=7),JulSun1+29, "")</f>
        <v>44039</v>
      </c>
      <c r="E27" s="19">
        <f>IF(AND(YEAR(JulSun1+30)=$A$2,MONTH(JulSun1+30)=7),JulSun1+30, "")</f>
        <v>44040</v>
      </c>
      <c r="F27" s="19">
        <f>IF(AND(YEAR(JulSun1+31)=$A$2,MONTH(JulSun1+31)=7),JulSun1+31, "")</f>
        <v>44041</v>
      </c>
      <c r="G27" s="27">
        <f>IF(AND(YEAR(JulSun1+32)=$A$2,MONTH(JulSun1+32)=7),JulSun1+32, "")</f>
        <v>44042</v>
      </c>
      <c r="H27" s="14">
        <f>IF(AND(YEAR(JulSun1+33)=$A$2,MONTH(JulSun1+33)=7),JulSun1+33, "")</f>
        <v>44043</v>
      </c>
      <c r="I27" s="4" t="str">
        <f>IF(AND(YEAR(JulSun1+34)=$A$2,MONTH(JulSun1+34)=7),JulSun1+34, "")</f>
        <v/>
      </c>
      <c r="K27" s="4">
        <f>IF(AND(YEAR(AugSun1+28)=$A$2,MONTH(AugSun1+28)=8),AugSun1+28, "")</f>
        <v>44066</v>
      </c>
      <c r="L27" s="19">
        <f>IF(AND(YEAR(AugSun1+29)=$A$2,MONTH(AugSun1+29)=8),AugSun1+29, "")</f>
        <v>44067</v>
      </c>
      <c r="M27" s="19">
        <f>IF(AND(YEAR(AugSun1+30)=$A$2,MONTH(AugSun1+30)=8),AugSun1+30, "")</f>
        <v>44068</v>
      </c>
      <c r="N27" s="19">
        <f>IF(AND(YEAR(AugSun1+31)=$A$2,MONTH(AugSun1+31)=8),AugSun1+31, "")</f>
        <v>44069</v>
      </c>
      <c r="O27" s="14">
        <f>IF(AND(YEAR(AugSun1+32)=$A$2,MONTH(AugSun1+32)=8),AugSun1+32, "")</f>
        <v>44070</v>
      </c>
      <c r="P27" s="14">
        <f>IF(AND(YEAR(AugSun1+33)=$A$2,MONTH(AugSun1+33)=8),AugSun1+33, "")</f>
        <v>44071</v>
      </c>
      <c r="Q27" s="4">
        <f>IF(AND(YEAR(AugSun1+34)=$A$2,MONTH(AugSun1+34)=8),AugSun1+34, "")</f>
        <v>44072</v>
      </c>
      <c r="S27" s="4">
        <f>IF(AND(YEAR(SepSun1+28)=$A$2,MONTH(SepSun1+28)=9),SepSun1+28, "")</f>
        <v>44101</v>
      </c>
      <c r="T27" s="19">
        <f>IF(AND(YEAR(SepSun1+29)=$A$2,MONTH(SepSun1+29)=9),SepSun1+29, "")</f>
        <v>44102</v>
      </c>
      <c r="U27" s="25">
        <f>IF(AND(YEAR(SepSun1+30)=$A$2,MONTH(SepSun1+30)=9),SepSun1+30, "")</f>
        <v>44103</v>
      </c>
      <c r="V27" s="19">
        <f>IF(AND(YEAR(SepSun1+31)=$A$2,MONTH(SepSun1+31)=9),SepSun1+31, "")</f>
        <v>44104</v>
      </c>
      <c r="W27" s="19" t="str">
        <f>IF(AND(YEAR(SepSun1+32)=$A$2,MONTH(SepSun1+32)=9),SepSun1+32, "")</f>
        <v/>
      </c>
      <c r="X27" s="4" t="str">
        <f>IF(AND(YEAR(SepSun1+33)=$A$2,MONTH(SepSun1+33)=9),SepSun1+33, "")</f>
        <v/>
      </c>
      <c r="Y27" s="11" t="str">
        <f>IF(AND(YEAR(SepSun1+34)=$A$2,MONTH(SepSun1+34)=9),SepSun1+34, "")</f>
        <v/>
      </c>
    </row>
    <row r="28" spans="2:42" ht="24" customHeight="1" x14ac:dyDescent="0.2">
      <c r="C28" s="4" t="str">
        <f>IF(AND(YEAR(JulSun1+35)=$A$2,MONTH(JulSun1+35)=7),JulSun1+35, "")</f>
        <v/>
      </c>
      <c r="D28" s="19" t="str">
        <f>IF(AND(YEAR(JulSun1+36)=$A$2,MONTH(JulSun1+36)=7),JulSun1+36, "")</f>
        <v/>
      </c>
      <c r="E28" s="19" t="str">
        <f>IF(AND(YEAR(JulSun1+37)=$A$2,MONTH(JulSun1+37)=7),JulSun1+37, "")</f>
        <v/>
      </c>
      <c r="F28" s="19" t="str">
        <f>IF(AND(YEAR(JulSun1+38)=$A$2,MONTH(JulSun1+38)=7),JulSun1+38, "")</f>
        <v/>
      </c>
      <c r="G28" s="19" t="str">
        <f>IF(AND(YEAR(JulSun1+39)=$A$2,MONTH(JulSun1+39)=7),JulSun1+39, "")</f>
        <v/>
      </c>
      <c r="H28" s="4" t="str">
        <f>IF(AND(YEAR(JulSun1+40)=$A$2,MONTH(JulSun1+40)=7),JulSun1+40, "")</f>
        <v/>
      </c>
      <c r="I28" s="4" t="str">
        <f>IF(AND(YEAR(JulSun1+41)=$A$2,MONTH(JulSun1+41)=7),JulSun1+41, "")</f>
        <v/>
      </c>
      <c r="K28" s="4">
        <f>IF(AND(YEAR(AugSun1+35)=$A$2,MONTH(AugSun1+35)=8),AugSun1+35, "")</f>
        <v>44073</v>
      </c>
      <c r="L28" s="19">
        <f>IF(AND(YEAR(AugSun1+36)=$A$2,MONTH(AugSun1+36)=8),AugSun1+36, "")</f>
        <v>44074</v>
      </c>
      <c r="M28" s="4" t="str">
        <f>IF(AND(YEAR(AugSun1+37)=$A$2,MONTH(AugSun1+37)=8),AugSun1+37, "")</f>
        <v/>
      </c>
      <c r="N28" s="4" t="str">
        <f>IF(AND(YEAR(AugSun1+38)=$A$2,MONTH(AugSun1+38)=8),AugSun1+38, "")</f>
        <v/>
      </c>
      <c r="O28" s="4" t="str">
        <f>IF(AND(YEAR(AugSun1+39)=$A$2,MONTH(AugSun1+39)=8),AugSun1+39, "")</f>
        <v/>
      </c>
      <c r="P28" s="4" t="str">
        <f>IF(AND(YEAR(AugSun1+40)=$A$2,MONTH(AugSun1+40)=8),AugSun1+40, "")</f>
        <v/>
      </c>
      <c r="Q28" s="4" t="str">
        <f>IF(AND(YEAR(AugSun1+41)=$A$2,MONTH(AugSun1+41)=8),AugSun1+41, "")</f>
        <v/>
      </c>
      <c r="S28" s="4" t="str">
        <f>IF(AND(YEAR(SepSun1+35)=$A$2,MONTH(SepSun1+35)=9),SepSun1+35, "")</f>
        <v/>
      </c>
      <c r="T28" s="4" t="str">
        <f>IF(AND(YEAR(SepSun1+36)=$A$2,MONTH(SepSun1+36)=9),SepSun1+36, "")</f>
        <v/>
      </c>
      <c r="U28" s="4" t="str">
        <f>IF(AND(YEAR(SepSun1+37)=$A$2,MONTH(SepSun1+37)=9),SepSun1+37, "")</f>
        <v/>
      </c>
      <c r="V28" s="14" t="str">
        <f>IF(AND(YEAR(SepSun1+38)=$A$2,MONTH(SepSun1+38)=9),SepSun1+38, "")</f>
        <v/>
      </c>
      <c r="W28" s="14" t="str">
        <f>IF(AND(YEAR(SepSun1+39)=$A$2,MONTH(SepSun1+39)=9),SepSun1+39, "")</f>
        <v/>
      </c>
      <c r="X28" s="14" t="str">
        <f>IF(AND(YEAR(SepSun1+40)=$A$2,MONTH(SepSun1+40)=9),SepSun1+40, "")</f>
        <v/>
      </c>
      <c r="Y28" s="4" t="str">
        <f>IF(AND(YEAR(SepSun1+41)=$A$2,MONTH(SepSun1+41)=9),SepSun1+41, "")</f>
        <v/>
      </c>
    </row>
    <row r="29" spans="2:42" ht="24" customHeight="1" x14ac:dyDescent="0.2">
      <c r="C29" s="31"/>
      <c r="D29" s="31"/>
      <c r="E29" s="31"/>
      <c r="F29" s="31"/>
      <c r="G29" s="31"/>
      <c r="H29" s="31"/>
      <c r="I29" s="31"/>
      <c r="AA29" s="31"/>
      <c r="AB29" s="31"/>
      <c r="AC29" s="31"/>
      <c r="AD29" s="31"/>
      <c r="AE29" s="31"/>
      <c r="AF29" s="31"/>
      <c r="AG29" s="31"/>
      <c r="AH29" s="31"/>
      <c r="AJ29" s="31"/>
      <c r="AK29" s="31"/>
      <c r="AL29" s="31"/>
      <c r="AM29" s="31"/>
      <c r="AN29" s="31"/>
      <c r="AO29" s="31"/>
      <c r="AP29" s="31"/>
    </row>
    <row r="30" spans="2:42" ht="24" customHeight="1" x14ac:dyDescent="0.2">
      <c r="C30" s="42" t="s">
        <v>13</v>
      </c>
      <c r="D30" s="43"/>
      <c r="E30" s="43"/>
      <c r="F30" s="43"/>
      <c r="G30" s="43"/>
      <c r="H30" s="43"/>
      <c r="I30" s="44"/>
      <c r="K30" s="42" t="s">
        <v>15</v>
      </c>
      <c r="L30" s="43"/>
      <c r="M30" s="43"/>
      <c r="N30" s="43"/>
      <c r="O30" s="43"/>
      <c r="P30" s="43"/>
      <c r="Q30" s="44"/>
      <c r="S30" s="42" t="s">
        <v>16</v>
      </c>
      <c r="T30" s="43"/>
      <c r="U30" s="43"/>
      <c r="V30" s="43"/>
      <c r="W30" s="43"/>
      <c r="X30" s="43"/>
      <c r="Y30" s="44"/>
      <c r="AA30" s="31"/>
    </row>
    <row r="31" spans="2:42" ht="24" customHeight="1" x14ac:dyDescent="0.2">
      <c r="C31" s="3" t="s">
        <v>0</v>
      </c>
      <c r="D31" s="3" t="s">
        <v>1</v>
      </c>
      <c r="E31" s="3" t="s">
        <v>2</v>
      </c>
      <c r="F31" s="13" t="s">
        <v>3</v>
      </c>
      <c r="G31" s="13" t="s">
        <v>2</v>
      </c>
      <c r="H31" s="13" t="s">
        <v>4</v>
      </c>
      <c r="I31" s="3" t="s">
        <v>0</v>
      </c>
      <c r="K31" s="3" t="s">
        <v>0</v>
      </c>
      <c r="L31" s="3" t="s">
        <v>1</v>
      </c>
      <c r="M31" s="3" t="s">
        <v>2</v>
      </c>
      <c r="N31" s="3" t="s">
        <v>3</v>
      </c>
      <c r="O31" s="3" t="s">
        <v>2</v>
      </c>
      <c r="P31" s="3" t="s">
        <v>4</v>
      </c>
      <c r="Q31" s="3" t="s">
        <v>0</v>
      </c>
      <c r="S31" s="3" t="s">
        <v>0</v>
      </c>
      <c r="T31" s="3" t="s">
        <v>1</v>
      </c>
      <c r="U31" s="3" t="s">
        <v>2</v>
      </c>
      <c r="V31" s="3" t="s">
        <v>3</v>
      </c>
      <c r="W31" s="3" t="s">
        <v>2</v>
      </c>
      <c r="X31" s="3" t="s">
        <v>4</v>
      </c>
      <c r="Y31" s="3" t="s">
        <v>0</v>
      </c>
      <c r="AA31" s="31"/>
    </row>
    <row r="32" spans="2:42" ht="24" customHeight="1" x14ac:dyDescent="0.2">
      <c r="C32" s="4" t="str">
        <f>IF(AND(YEAR(OctSun1)=$A$2,MONTH(OctSun1)=10),OctSun1, "")</f>
        <v/>
      </c>
      <c r="D32" s="4" t="str">
        <f>IF(AND(YEAR(OctSun1+1)=$A$2,MONTH(OctSun1+1)=10),OctSun1+1, "")</f>
        <v/>
      </c>
      <c r="E32" s="10" t="str">
        <f>IF(AND(YEAR(OctSun1+2)=$A$2,MONTH(OctSun1+2)=10),OctSun1+2, "")</f>
        <v/>
      </c>
      <c r="F32" s="4" t="str">
        <f>IF(AND(YEAR(OctSun1+3)=$A$2,MONTH(OctSun1+3)=10),OctSun1+3, "")</f>
        <v/>
      </c>
      <c r="G32" s="4">
        <f>IF(AND(YEAR(OctSun1+4)=$A$2,MONTH(OctSun1+4)=10),OctSun1+4, "")</f>
        <v>44105</v>
      </c>
      <c r="H32" s="4">
        <f>IF(AND(YEAR(OctSun1+5)=$A$2,MONTH(OctSun1+5)=10),OctSun1+5, "")</f>
        <v>44106</v>
      </c>
      <c r="I32" s="15">
        <f>IF(AND(YEAR(OctSun1+6)=$A$2,MONTH(OctSun1+6)=10),OctSun1+6, "")</f>
        <v>44107</v>
      </c>
      <c r="K32" s="4">
        <f>IF(AND(YEAR(NovSun1)=$A$2,MONTH(NovSun1)=11),NovSun1, "")</f>
        <v>44136</v>
      </c>
      <c r="L32" s="19">
        <f>IF(AND(YEAR(NovSun1+1)=$A$2,MONTH(NovSun1+1)=11),NovSun1+1, "")</f>
        <v>44137</v>
      </c>
      <c r="M32" s="19">
        <f>IF(AND(YEAR(NovSun1+2)=$A$2,MONTH(NovSun1+2)=11),NovSun1+2, "")</f>
        <v>44138</v>
      </c>
      <c r="N32" s="19">
        <f>IF(AND(YEAR(NovSun1+3)=$A$2,MONTH(NovSun1+3)=11),NovSun1+3, "")</f>
        <v>44139</v>
      </c>
      <c r="O32" s="5">
        <f>IF(AND(YEAR(NovSun1+4)=$A$2,MONTH(NovSun1+4)=11),NovSun1+4, "")</f>
        <v>44140</v>
      </c>
      <c r="P32" s="5">
        <f>IF(AND(YEAR(NovSun1+5)=$A$2,MONTH(NovSun1+5)=11),NovSun1+5, "")</f>
        <v>44141</v>
      </c>
      <c r="Q32" s="5">
        <f>IF(AND(YEAR(NovSun1+6)=$A$2,MONTH(NovSun1+6)=11),NovSun1+6, "")</f>
        <v>44142</v>
      </c>
      <c r="S32" s="4" t="str">
        <f>IF(AND(YEAR(DecSun1)=$A$2,MONTH(DecSun1)=12),DecSun1, "")</f>
        <v/>
      </c>
      <c r="T32" s="4" t="str">
        <f>IF(AND(YEAR(DecSun1+1)=$A$2,MONTH(DecSun1+1)=12),DecSun1+1, "")</f>
        <v/>
      </c>
      <c r="U32" s="19">
        <f>IF(AND(YEAR(DecSun1+2)=$A$2,MONTH(DecSun1+2)=12),DecSun1+2, "")</f>
        <v>44166</v>
      </c>
      <c r="V32" s="19">
        <f>IF(AND(YEAR(DecSun1+3)=$A$2,MONTH(DecSun1+3)=12),DecSun1+3, "")</f>
        <v>44167</v>
      </c>
      <c r="W32" s="4">
        <f>IF(AND(YEAR(DecSun1+4)=$A$2,MONTH(DecSun1+4)=12),DecSun1+4, "")</f>
        <v>44168</v>
      </c>
      <c r="X32" s="4">
        <f>IF(AND(YEAR(DecSun1+5)=$A$2,MONTH(DecSun1+5)=12),DecSun1+5, "")</f>
        <v>44169</v>
      </c>
      <c r="Y32" s="4">
        <f>IF(AND(YEAR(DecSun1+6)=$A$2,MONTH(DecSun1+6)=12),DecSun1+6, "")</f>
        <v>44170</v>
      </c>
      <c r="AA32" s="31"/>
    </row>
    <row r="33" spans="2:33" ht="24" customHeight="1" x14ac:dyDescent="0.2">
      <c r="C33" s="4">
        <f>IF(AND(YEAR(OctSun1+7)=$A$2,MONTH(OctSun1+7)=10),OctSun1+7, "")</f>
        <v>44108</v>
      </c>
      <c r="D33" s="40">
        <v>44109</v>
      </c>
      <c r="E33" s="25">
        <f>IF(AND(YEAR(OctSun1+9)=$A$2,MONTH(OctSun1+9)=10),OctSun1+9, "")</f>
        <v>44110</v>
      </c>
      <c r="F33" s="19">
        <f>IF(AND(YEAR(OctSun1+10)=$A$2,MONTH(OctSun1+10)=10),OctSun1+10, "")</f>
        <v>44111</v>
      </c>
      <c r="G33" s="4">
        <f>IF(AND(YEAR(OctSun1+11)=$A$2,MONTH(OctSun1+11)=10),OctSun1+11, "")</f>
        <v>44112</v>
      </c>
      <c r="H33" s="4">
        <f>IF(AND(YEAR(OctSun1+12)=$A$2,MONTH(OctSun1+12)=10),OctSun1+12, "")</f>
        <v>44113</v>
      </c>
      <c r="I33" s="4">
        <f>IF(AND(YEAR(OctSun1+13)=$A$2,MONTH(OctSun1+13)=10),OctSun1+13, "")</f>
        <v>44114</v>
      </c>
      <c r="K33" s="4">
        <f>IF(AND(YEAR(NovSun1+7)=$A$2,MONTH(NovSun1+7)=11),NovSun1+7, "")</f>
        <v>44143</v>
      </c>
      <c r="L33" s="19">
        <f>IF(AND(YEAR(NovSun1+8)=$A$2,MONTH(NovSun1+8)=11),NovSun1+8, "")</f>
        <v>44144</v>
      </c>
      <c r="M33" s="25">
        <f>IF(AND(YEAR(NovSun1+9)=$A$2,MONTH(NovSun1+9)=11),NovSun1+9, "")</f>
        <v>44145</v>
      </c>
      <c r="N33" s="19">
        <f>IF(AND(YEAR(NovSun1+10)=$A$2,MONTH(NovSun1+10)=11),NovSun1+10, "")</f>
        <v>44146</v>
      </c>
      <c r="O33" s="4">
        <f>IF(AND(YEAR(NovSun1+11)=$A$2,MONTH(NovSun1+11)=11),NovSun1+11, "")</f>
        <v>44147</v>
      </c>
      <c r="P33" s="4">
        <f>IF(AND(YEAR(NovSun1+12)=$A$2,MONTH(NovSun1+12)=11),NovSun1+12, "")</f>
        <v>44148</v>
      </c>
      <c r="Q33" s="4">
        <f>IF(AND(YEAR(NovSun1+13)=$A$2,MONTH(NovSun1+13)=11),NovSun1+13, "")</f>
        <v>44149</v>
      </c>
      <c r="S33" s="4">
        <f>IF(AND(YEAR(DecSun1+7)=$A$2,MONTH(DecSun1+7)=12),DecSun1+7, "")</f>
        <v>44171</v>
      </c>
      <c r="T33" s="19">
        <f>IF(AND(YEAR(DecSun1+8)=$A$2,MONTH(DecSun1+8)=12),DecSun1+8, "")</f>
        <v>44172</v>
      </c>
      <c r="U33" s="19">
        <f>IF(AND(YEAR(DecSun1+9)=$A$2,MONTH(DecSun1+9)=12),DecSun1+9, "")</f>
        <v>44173</v>
      </c>
      <c r="V33" s="19">
        <f>IF(AND(YEAR(DecSun1+10)=$A$2,MONTH(DecSun1+10)=12),DecSun1+10, "")</f>
        <v>44174</v>
      </c>
      <c r="W33" s="4">
        <f>IF(AND(YEAR(DecSun1+11)=$A$2,MONTH(DecSun1+11)=12),DecSun1+11, "")</f>
        <v>44175</v>
      </c>
      <c r="X33" s="4">
        <f>IF(AND(YEAR(DecSun1+12)=$A$2,MONTH(DecSun1+12)=12),DecSun1+12, "")</f>
        <v>44176</v>
      </c>
      <c r="Y33" s="4">
        <f>IF(AND(YEAR(DecSun1+13)=$A$2,MONTH(DecSun1+13)=12),DecSun1+13, "")</f>
        <v>44177</v>
      </c>
      <c r="AA33" s="31"/>
    </row>
    <row r="34" spans="2:33" ht="24" customHeight="1" x14ac:dyDescent="0.2">
      <c r="C34" s="4">
        <f>IF(AND(YEAR(OctSun1+14)=$A$2,MONTH(OctSun1+14)=10),OctSun1+14, "")</f>
        <v>44115</v>
      </c>
      <c r="D34" s="19">
        <f>IF(AND(YEAR(OctSun1+15)=$A$2,MONTH(OctSun1+15)=10),OctSun1+15, "")</f>
        <v>44116</v>
      </c>
      <c r="E34" s="25">
        <f>IF(AND(YEAR(OctSun1+16)=$A$2,MONTH(OctSun1+16)=10),OctSun1+16, "")</f>
        <v>44117</v>
      </c>
      <c r="F34" s="19">
        <f>IF(AND(YEAR(OctSun1+17)=$A$2,MONTH(OctSun1+17)=10),OctSun1+17, "")</f>
        <v>44118</v>
      </c>
      <c r="G34" s="4">
        <f>IF(AND(YEAR(OctSun1+18)=$A$2,MONTH(OctSun1+18)=10),OctSun1+18, "")</f>
        <v>44119</v>
      </c>
      <c r="H34" s="4">
        <f>IF(AND(YEAR(OctSun1+19)=$A$2,MONTH(OctSun1+19)=10),OctSun1+19, "")</f>
        <v>44120</v>
      </c>
      <c r="I34" s="16">
        <f>IF(AND(YEAR(OctSun1+20)=$A$2,MONTH(OctSun1+20)=10),OctSun1+20, "")</f>
        <v>44121</v>
      </c>
      <c r="K34" s="4">
        <f>IF(AND(YEAR(NovSun1+14)=$A$2,MONTH(NovSun1+14)=11),NovSun1+14, "")</f>
        <v>44150</v>
      </c>
      <c r="L34" s="19">
        <f>IF(AND(YEAR(NovSun1+15)=$A$2,MONTH(NovSun1+15)=11),NovSun1+15, "")</f>
        <v>44151</v>
      </c>
      <c r="M34" s="19">
        <f>IF(AND(YEAR(NovSun1+16)=$A$2,MONTH(NovSun1+16)=11),NovSun1+16, "")</f>
        <v>44152</v>
      </c>
      <c r="N34" s="19">
        <f>IF(AND(YEAR(NovSun1+17)=$A$2,MONTH(NovSun1+17)=11),NovSun1+17, "")</f>
        <v>44153</v>
      </c>
      <c r="O34" s="14">
        <f>IF(AND(YEAR(NovSun1+18)=$A$2,MONTH(NovSun1+18)=11),NovSun1+18, "")</f>
        <v>44154</v>
      </c>
      <c r="P34" s="14">
        <f>IF(AND(YEAR(NovSun1+19)=$A$2,MONTH(NovSun1+19)=11),NovSun1+19, "")</f>
        <v>44155</v>
      </c>
      <c r="Q34" s="14">
        <f>IF(AND(YEAR(NovSun1+20)=$A$2,MONTH(NovSun1+20)=11),NovSun1+20, "")</f>
        <v>44156</v>
      </c>
      <c r="S34" s="4">
        <f>IF(AND(YEAR(DecSun1+14)=$A$2,MONTH(DecSun1+14)=12),DecSun1+14, "")</f>
        <v>44178</v>
      </c>
      <c r="T34" s="19">
        <f>IF(AND(YEAR(DecSun1+15)=$A$2,MONTH(DecSun1+15)=12),DecSun1+15, "")</f>
        <v>44179</v>
      </c>
      <c r="U34" s="19">
        <f>IF(AND(YEAR(DecSun1+16)=$A$2,MONTH(DecSun1+16)=12),DecSun1+16, "")</f>
        <v>44180</v>
      </c>
      <c r="V34" s="19">
        <f>IF(AND(YEAR(DecSun1+17)=$A$2,MONTH(DecSun1+17)=12),DecSun1+17, "")</f>
        <v>44181</v>
      </c>
      <c r="W34" s="4">
        <f>IF(AND(YEAR(DecSun1+18)=$A$2,MONTH(DecSun1+18)=12),DecSun1+18, "")</f>
        <v>44182</v>
      </c>
      <c r="X34" s="4">
        <f>IF(AND(YEAR(DecSun1+19)=$A$2,MONTH(DecSun1+19)=12),DecSun1+19, "")</f>
        <v>44183</v>
      </c>
      <c r="Y34" s="4">
        <f>IF(AND(YEAR(DecSun1+20)=$A$2,MONTH(DecSun1+20)=12),DecSun1+20, "")</f>
        <v>44184</v>
      </c>
      <c r="AA34" s="31"/>
    </row>
    <row r="35" spans="2:33" ht="24" customHeight="1" x14ac:dyDescent="0.2">
      <c r="C35" s="4">
        <f>IF(AND(YEAR(OctSun1+21)=$A$2,MONTH(OctSun1+21)=10),OctSun1+21, "")</f>
        <v>44122</v>
      </c>
      <c r="D35" s="19">
        <f>IF(AND(YEAR(OctSun1+22)=$A$2,MONTH(OctSun1+22)=10),OctSun1+22, "")</f>
        <v>44123</v>
      </c>
      <c r="E35" s="19">
        <f>IF(AND(YEAR(OctSun1+23)=$A$2,MONTH(OctSun1+23)=10),OctSun1+23, "")</f>
        <v>44124</v>
      </c>
      <c r="F35" s="19">
        <f>IF(AND(YEAR(OctSun1+24)=$A$2,MONTH(OctSun1+24)=10),OctSun1+24, "")</f>
        <v>44125</v>
      </c>
      <c r="G35" s="4">
        <f>IF(AND(YEAR(OctSun1+25)=$A$2,MONTH(OctSun1+25)=10),OctSun1+25, "")</f>
        <v>44126</v>
      </c>
      <c r="H35" s="4">
        <f>IF(AND(YEAR(OctSun1+26)=$A$2,MONTH(OctSun1+26)=10),OctSun1+26, "")</f>
        <v>44127</v>
      </c>
      <c r="I35" s="11">
        <f>IF(AND(YEAR(OctSun1+27)=$A$2,MONTH(OctSun1+27)=10),OctSun1+27, "")</f>
        <v>44128</v>
      </c>
      <c r="K35" s="4">
        <f>IF(AND(YEAR(NovSun1+21)=$A$2,MONTH(NovSun1+21)=11),NovSun1+21, "")</f>
        <v>44157</v>
      </c>
      <c r="L35" s="19">
        <f>IF(AND(YEAR(NovSun1+22)=$A$2,MONTH(NovSun1+22)=11),NovSun1+22, "")</f>
        <v>44158</v>
      </c>
      <c r="M35" s="19">
        <f>IF(AND(YEAR(NovSun1+23)=$A$2,MONTH(NovSun1+23)=11),NovSun1+23, "")</f>
        <v>44159</v>
      </c>
      <c r="N35" s="19">
        <f>IF(AND(YEAR(NovSun1+24)=$A$2,MONTH(NovSun1+24)=11),NovSun1+24, "")</f>
        <v>44160</v>
      </c>
      <c r="O35" s="19">
        <f>IF(AND(YEAR(NovSun1+25)=$A$2,MONTH(NovSun1+25)=11),NovSun1+25, "")</f>
        <v>44161</v>
      </c>
      <c r="P35" s="4">
        <f>IF(AND(YEAR(NovSun1+26)=$A$2,MONTH(NovSun1+26)=11),NovSun1+26, "")</f>
        <v>44162</v>
      </c>
      <c r="Q35" s="4">
        <f>IF(AND(YEAR(NovSun1+27)=$A$2,MONTH(NovSun1+27)=11),NovSun1+27, "")</f>
        <v>44163</v>
      </c>
      <c r="S35" s="4">
        <f>IF(AND(YEAR(DecSun1+21)=$A$2,MONTH(DecSun1+21)=12),DecSun1+21, "")</f>
        <v>44185</v>
      </c>
      <c r="T35" s="19">
        <f>IF(AND(YEAR(DecSun1+22)=$A$2,MONTH(DecSun1+22)=12),DecSun1+22, "")</f>
        <v>44186</v>
      </c>
      <c r="U35" s="19">
        <f>IF(AND(YEAR(DecSun1+23)=$A$2,MONTH(DecSun1+23)=12),DecSun1+23, "")</f>
        <v>44187</v>
      </c>
      <c r="V35" s="19">
        <f>IF(AND(YEAR(DecSun1+24)=$A$2,MONTH(DecSun1+24)=12),DecSun1+24, "")</f>
        <v>44188</v>
      </c>
      <c r="W35" s="4">
        <f>IF(AND(YEAR(DecSun1+25)=$A$2,MONTH(DecSun1+25)=12),DecSun1+25, "")</f>
        <v>44189</v>
      </c>
      <c r="X35" s="19">
        <f>IF(AND(YEAR(DecSun1+26)=$A$2,MONTH(DecSun1+26)=12),DecSun1+26, "")</f>
        <v>44190</v>
      </c>
      <c r="Y35" s="4">
        <f>IF(AND(YEAR(DecSun1+27)=$A$2,MONTH(DecSun1+27)=12),DecSun1+27, "")</f>
        <v>44191</v>
      </c>
      <c r="AA35" s="31"/>
    </row>
    <row r="36" spans="2:33" ht="24" customHeight="1" x14ac:dyDescent="0.2">
      <c r="C36" s="4">
        <f>IF(AND(YEAR(OctSun1+28)=$A$2,MONTH(OctSun1+28)=10),OctSun1+28, "")</f>
        <v>44129</v>
      </c>
      <c r="D36" s="19">
        <f>IF(AND(YEAR(OctSun1+29)=$A$2,MONTH(OctSun1+29)=10),OctSun1+29, "")</f>
        <v>44130</v>
      </c>
      <c r="E36" s="25">
        <f>IF(AND(YEAR(OctSun1+30)=$A$2,MONTH(OctSun1+30)=10),OctSun1+30, "")</f>
        <v>44131</v>
      </c>
      <c r="F36" s="19">
        <f>IF(AND(YEAR(OctSun1+31)=$A$2,MONTH(OctSun1+31)=10),OctSun1+31, "")</f>
        <v>44132</v>
      </c>
      <c r="G36" s="4">
        <f>IF(AND(YEAR(OctSun1+32)=$A$2,MONTH(OctSun1+32)=10),OctSun1+32, "")</f>
        <v>44133</v>
      </c>
      <c r="H36" s="4">
        <f>IF(AND(YEAR(OctSun1+33)=$A$2,MONTH(OctSun1+33)=10),OctSun1+33, "")</f>
        <v>44134</v>
      </c>
      <c r="I36" s="11">
        <f>IF(AND(YEAR(OctSun1+34)=$A$2,MONTH(OctSun1+34)=10),OctSun1+34, "")</f>
        <v>44135</v>
      </c>
      <c r="K36" s="4">
        <f>IF(AND(YEAR(NovSun1+28)=$A$2,MONTH(NovSun1+28)=11),NovSun1+28, "")</f>
        <v>44164</v>
      </c>
      <c r="L36" s="19">
        <f>IF(AND(YEAR(NovSun1+29)=$A$2,MONTH(NovSun1+29)=11),NovSun1+29, "")</f>
        <v>44165</v>
      </c>
      <c r="M36" s="19" t="str">
        <f>IF(AND(YEAR(NovSun1+30)=$A$2,MONTH(NovSun1+30)=11),NovSun1+30, "")</f>
        <v/>
      </c>
      <c r="N36" s="19" t="str">
        <f>IF(AND(YEAR(NovSun1+31)=$A$2,MONTH(NovSun1+31)=11),NovSun1+31, "")</f>
        <v/>
      </c>
      <c r="O36" s="4" t="str">
        <f>IF(AND(YEAR(NovSun1+32)=$A$2,MONTH(NovSun1+32)=11),NovSun1+32, "")</f>
        <v/>
      </c>
      <c r="P36" s="4" t="str">
        <f>IF(AND(YEAR(NovSun1+33)=$A$2,MONTH(NovSun1+33)=11),NovSun1+33, "")</f>
        <v/>
      </c>
      <c r="Q36" s="4" t="str">
        <f>IF(AND(YEAR(NovSun1+34)=$A$2,MONTH(NovSun1+34)=11),NovSun1+34, "")</f>
        <v/>
      </c>
      <c r="S36" s="19">
        <f>IF(AND(YEAR(DecSun1+28)=$A$2,MONTH(DecSun1+28)=12),DecSun1+28, "")</f>
        <v>44192</v>
      </c>
      <c r="T36" s="19">
        <f>IF(AND(YEAR(DecSun1+29)=$A$2,MONTH(DecSun1+29)=12),DecSun1+29, "")</f>
        <v>44193</v>
      </c>
      <c r="U36" s="19">
        <f>IF(AND(YEAR(DecSun1+30)=$A$2,MONTH(DecSun1+30)=12),DecSun1+30, "")</f>
        <v>44194</v>
      </c>
      <c r="V36" s="19">
        <f>IF(AND(YEAR(DecSun1+31)=$A$2,MONTH(DecSun1+31)=12),DecSun1+31, "")</f>
        <v>44195</v>
      </c>
      <c r="W36" s="4">
        <f>IF(AND(YEAR(DecSun1+32)=$A$2,MONTH(DecSun1+32)=12),DecSun1+32, "")</f>
        <v>44196</v>
      </c>
      <c r="X36" s="4" t="str">
        <f>IF(AND(YEAR(DecSun1+33)=$A$2,MONTH(DecSun1+33)=12),DecSun1+33, "")</f>
        <v/>
      </c>
      <c r="Y36" s="4" t="str">
        <f>IF(AND(YEAR(DecSun1+34)=$A$2,MONTH(DecSun1+34)=12),DecSun1+34, "")</f>
        <v/>
      </c>
      <c r="AA36" s="31"/>
    </row>
    <row r="37" spans="2:33" ht="24" customHeight="1" x14ac:dyDescent="0.2">
      <c r="C37" s="4" t="str">
        <f>IF(AND(YEAR(OctSun1+35)=$A$2,MONTH(OctSun1+35)=10),OctSun1+35, "")</f>
        <v/>
      </c>
      <c r="D37" s="19" t="str">
        <f>IF(AND(YEAR(OctSun1+36)=$A$2,MONTH(OctSun1+36)=10),OctSun1+36, "")</f>
        <v/>
      </c>
      <c r="E37" s="19" t="str">
        <f>IF(AND(YEAR(OctSun1+37)=$A$2,MONTH(OctSun1+37)=10),OctSun1+37, "")</f>
        <v/>
      </c>
      <c r="F37" s="19" t="str">
        <f>IF(AND(YEAR(OctSun1+38)=$A$2,MONTH(OctSun1+38)=10),OctSun1+38, "")</f>
        <v/>
      </c>
      <c r="G37" s="4" t="str">
        <f>IF(AND(YEAR(OctSun1+39)=$A$2,MONTH(OctSun1+39)=10),OctSun1+39, "")</f>
        <v/>
      </c>
      <c r="H37" s="4" t="str">
        <f>IF(AND(YEAR(OctSun1+40)=$A$2,MONTH(OctSun1+40)=10),OctSun1+40, "")</f>
        <v/>
      </c>
      <c r="I37" s="4" t="str">
        <f>IF(AND(YEAR(OctSun1+41)=$A$2,MONTH(OctSun1+41)=10),OctSun1+41, "")</f>
        <v/>
      </c>
      <c r="K37" s="4" t="str">
        <f>IF(AND(YEAR(NovSun1+35)=$A$2,MONTH(NovSun1+35)=11),NovSun1+35, "")</f>
        <v/>
      </c>
      <c r="L37" s="4" t="str">
        <f>IF(AND(YEAR(NovSun1+36)=$A$2,MONTH(NovSun1+36)=11),NovSun1+36, "")</f>
        <v/>
      </c>
      <c r="M37" s="4" t="str">
        <f>IF(AND(YEAR(NovSun1+37)=$A$2,MONTH(NovSun1+37)=11),NovSun1+37, "")</f>
        <v/>
      </c>
      <c r="N37" s="4" t="str">
        <f>IF(AND(YEAR(NovSun1+38)=$A$2,MONTH(NovSun1+38)=11),NovSun1+38, "")</f>
        <v/>
      </c>
      <c r="O37" s="4" t="str">
        <f>IF(AND(YEAR(NovSun1+39)=$A$2,MONTH(NovSun1+39)=11),NovSun1+39, "")</f>
        <v/>
      </c>
      <c r="P37" s="4" t="str">
        <f>IF(AND(YEAR(NovSun1+40)=$A$2,MONTH(NovSun1+40)=11),NovSun1+40, "")</f>
        <v/>
      </c>
      <c r="Q37" s="4" t="str">
        <f>IF(AND(YEAR(NovSun1+41)=$A$2,MONTH(NovSun1+41)=11),NovSun1+41, "")</f>
        <v/>
      </c>
      <c r="S37" s="4" t="str">
        <f>IF(AND(YEAR(DecSun1+35)=$A$2,MONTH(DecSun1+35)=12),DecSun1+35, "")</f>
        <v/>
      </c>
      <c r="T37" s="4" t="str">
        <f>IF(AND(YEAR(DecSun1+36)=$A$2,MONTH(DecSun1+36)=12),DecSun1+36, "")</f>
        <v/>
      </c>
      <c r="U37" s="4" t="str">
        <f>IF(AND(YEAR(DecSun1+37)=$A$2,MONTH(DecSun1+37)=12),DecSun1+37, "")</f>
        <v/>
      </c>
      <c r="V37" s="4" t="str">
        <f>IF(AND(YEAR(DecSun1+38)=$A$2,MONTH(DecSun1+38)=12),DecSun1+38, "")</f>
        <v/>
      </c>
      <c r="W37" s="4" t="str">
        <f>IF(AND(YEAR(DecSun1+39)=$A$2,MONTH(DecSun1+39)=12),DecSun1+39, "")</f>
        <v/>
      </c>
      <c r="X37" s="4" t="str">
        <f>IF(AND(YEAR(DecSun1+40)=$A$2,MONTH(DecSun1+40)=12),DecSun1+40, "")</f>
        <v/>
      </c>
      <c r="Y37" s="4" t="str">
        <f>IF(AND(YEAR(DecSun1+41)=$A$2,MONTH(DecSun1+41)=12),DecSun1+41, "")</f>
        <v/>
      </c>
      <c r="AA37" s="31"/>
    </row>
    <row r="38" spans="2:33" x14ac:dyDescent="0.2">
      <c r="B38" s="8"/>
      <c r="C38" s="49" t="s">
        <v>19</v>
      </c>
      <c r="D38" s="49"/>
      <c r="E38" s="49"/>
      <c r="F38" s="49"/>
      <c r="G38" s="49"/>
      <c r="H38" s="49"/>
      <c r="I38" s="49"/>
      <c r="J38" s="49"/>
      <c r="K38" s="49"/>
      <c r="L38" s="49"/>
      <c r="M38" s="49"/>
      <c r="N38" s="49"/>
      <c r="O38" s="49"/>
      <c r="P38" s="49"/>
      <c r="Q38" s="49"/>
      <c r="R38" s="49"/>
      <c r="S38" s="49"/>
      <c r="T38" s="49"/>
      <c r="U38" s="49"/>
      <c r="V38" s="49"/>
      <c r="W38" s="49"/>
      <c r="X38" s="49"/>
      <c r="Y38" s="49"/>
      <c r="Z38" s="32"/>
      <c r="AA38" s="32"/>
      <c r="AB38" s="36"/>
      <c r="AC38" s="36"/>
      <c r="AD38" s="36"/>
      <c r="AE38" s="36"/>
      <c r="AF38" s="36"/>
      <c r="AG38" s="36"/>
    </row>
    <row r="39" spans="2:33" x14ac:dyDescent="0.2">
      <c r="B39" s="8"/>
      <c r="C39" s="8"/>
      <c r="D39" s="8"/>
      <c r="E39" s="8"/>
      <c r="F39" s="8"/>
      <c r="G39" s="8"/>
      <c r="H39" s="8"/>
      <c r="I39" s="8"/>
      <c r="K39" s="8"/>
      <c r="L39" s="8"/>
      <c r="M39" s="8"/>
      <c r="N39" s="8"/>
      <c r="O39" s="8"/>
      <c r="P39" s="8"/>
      <c r="Q39" s="8"/>
      <c r="S39" s="8"/>
      <c r="T39" s="8"/>
      <c r="U39" s="8"/>
      <c r="V39" s="8"/>
      <c r="W39" s="8"/>
      <c r="X39" s="8"/>
      <c r="Y39" s="8"/>
      <c r="AA39" s="8"/>
      <c r="AB39" s="17"/>
      <c r="AC39" s="17"/>
      <c r="AD39" s="17"/>
      <c r="AE39" s="17"/>
      <c r="AF39" s="17"/>
      <c r="AG39" s="17"/>
    </row>
    <row r="40" spans="2:33" x14ac:dyDescent="0.2">
      <c r="B40" s="8"/>
      <c r="C40" s="39"/>
      <c r="D40" s="8" t="s">
        <v>20</v>
      </c>
      <c r="E40" s="8"/>
      <c r="F40" s="8"/>
      <c r="G40" s="18"/>
      <c r="J40" s="34" t="s">
        <v>29</v>
      </c>
      <c r="K40" s="34"/>
      <c r="L40" s="34"/>
      <c r="M40" s="34"/>
      <c r="N40" s="34"/>
      <c r="O40" s="34"/>
      <c r="P40" s="34"/>
      <c r="Q40" s="34"/>
      <c r="R40" s="34"/>
      <c r="S40" s="8"/>
      <c r="T40" s="8" t="s">
        <v>33</v>
      </c>
      <c r="W40" s="8"/>
      <c r="Y40" s="8"/>
      <c r="AA40" s="8"/>
      <c r="AB40" s="17"/>
      <c r="AC40" s="17"/>
      <c r="AD40" s="17"/>
      <c r="AE40" s="17"/>
      <c r="AF40" s="17"/>
      <c r="AG40" s="17"/>
    </row>
    <row r="41" spans="2:33" x14ac:dyDescent="0.2">
      <c r="B41" s="8"/>
      <c r="C41" s="8"/>
      <c r="D41" s="8"/>
      <c r="E41" s="8"/>
      <c r="F41" s="8"/>
      <c r="G41" s="18"/>
      <c r="J41" s="34" t="s">
        <v>34</v>
      </c>
      <c r="K41" s="34"/>
      <c r="L41" s="34"/>
      <c r="M41" s="34"/>
      <c r="N41" s="34"/>
      <c r="O41" s="34"/>
      <c r="P41" s="34"/>
      <c r="Q41" s="34"/>
      <c r="R41" s="34"/>
      <c r="S41" s="8"/>
      <c r="T41" s="8"/>
      <c r="W41" s="8"/>
      <c r="Y41" s="8"/>
      <c r="AA41" s="8"/>
      <c r="AB41" s="17"/>
      <c r="AC41" s="17"/>
      <c r="AD41" s="17"/>
      <c r="AE41" s="17"/>
      <c r="AF41" s="17"/>
      <c r="AG41" s="17"/>
    </row>
    <row r="42" spans="2:33" x14ac:dyDescent="0.2">
      <c r="B42" s="8"/>
      <c r="C42" s="8" t="s">
        <v>21</v>
      </c>
      <c r="E42" s="8"/>
      <c r="F42" s="8"/>
      <c r="G42" s="8"/>
      <c r="H42" s="8"/>
      <c r="I42" s="8"/>
      <c r="K42" s="8"/>
      <c r="L42" s="8"/>
      <c r="N42" s="8"/>
      <c r="O42" s="8"/>
      <c r="P42" s="8"/>
      <c r="Q42" s="8"/>
      <c r="S42" s="8"/>
      <c r="T42" s="8"/>
      <c r="U42" s="8"/>
      <c r="V42" s="8"/>
      <c r="W42" s="8"/>
      <c r="X42" s="8"/>
      <c r="Y42" s="8"/>
      <c r="AA42" s="8"/>
      <c r="AB42" s="17"/>
      <c r="AC42" s="17"/>
      <c r="AD42" s="17"/>
      <c r="AE42" s="17"/>
      <c r="AF42" s="17"/>
      <c r="AG42" s="17"/>
    </row>
    <row r="43" spans="2:33" x14ac:dyDescent="0.2">
      <c r="B43" s="8"/>
      <c r="C43" s="8" t="s">
        <v>22</v>
      </c>
      <c r="D43" s="8"/>
      <c r="E43" s="8"/>
      <c r="F43" s="8"/>
      <c r="G43" s="8"/>
      <c r="H43" s="8"/>
      <c r="I43" s="8"/>
      <c r="K43" s="8"/>
      <c r="L43" s="8"/>
      <c r="M43" s="8"/>
      <c r="N43" s="8"/>
      <c r="O43" s="8"/>
      <c r="P43" s="8"/>
      <c r="Q43" s="8"/>
      <c r="S43" s="8"/>
      <c r="T43" s="8"/>
      <c r="U43" s="8"/>
      <c r="V43" s="8"/>
      <c r="W43" s="8"/>
      <c r="X43" s="8"/>
      <c r="Y43" s="8"/>
      <c r="AA43" s="8"/>
      <c r="AB43" s="17"/>
      <c r="AC43" s="17"/>
      <c r="AD43" s="17"/>
      <c r="AE43" s="17"/>
      <c r="AF43" s="17"/>
      <c r="AG43" s="17"/>
    </row>
    <row r="44" spans="2:33" x14ac:dyDescent="0.2">
      <c r="B44" s="8"/>
      <c r="C44" s="8"/>
      <c r="D44" s="8"/>
      <c r="E44" s="8"/>
      <c r="F44" s="8"/>
      <c r="G44" s="8"/>
      <c r="H44" s="8"/>
      <c r="I44" s="8"/>
      <c r="K44" s="8"/>
      <c r="L44" s="8"/>
      <c r="M44" s="8"/>
      <c r="N44" s="8"/>
      <c r="O44" s="8"/>
      <c r="P44" s="8"/>
      <c r="Q44" s="8"/>
      <c r="S44" s="8"/>
      <c r="T44" s="8"/>
      <c r="U44" s="8"/>
      <c r="V44" s="8"/>
      <c r="W44" s="8"/>
      <c r="X44" s="8"/>
      <c r="Y44" s="8"/>
      <c r="AA44" s="8"/>
      <c r="AB44" s="17"/>
      <c r="AC44" s="17"/>
      <c r="AD44" s="17"/>
      <c r="AE44" s="17"/>
      <c r="AF44" s="17"/>
      <c r="AG44" s="17"/>
    </row>
    <row r="45" spans="2:33" x14ac:dyDescent="0.2">
      <c r="B45" s="8"/>
      <c r="C45" s="50" t="s">
        <v>24</v>
      </c>
      <c r="D45" s="50"/>
      <c r="E45" s="50"/>
      <c r="F45" s="50"/>
      <c r="G45" s="50"/>
      <c r="H45" s="50"/>
      <c r="I45" s="50"/>
      <c r="J45" s="50"/>
      <c r="K45" s="50"/>
      <c r="L45" s="50"/>
      <c r="M45" s="50"/>
      <c r="N45" s="50"/>
      <c r="O45" s="50"/>
      <c r="P45" s="50"/>
      <c r="Q45" s="50"/>
      <c r="R45" s="50"/>
      <c r="S45" s="50"/>
      <c r="T45" s="50"/>
      <c r="U45" s="50"/>
      <c r="V45" s="50"/>
      <c r="W45" s="50"/>
      <c r="X45" s="50"/>
      <c r="Y45" s="50"/>
      <c r="Z45" s="33"/>
      <c r="AA45" s="33"/>
      <c r="AB45" s="37"/>
      <c r="AC45" s="37"/>
      <c r="AD45" s="37"/>
      <c r="AE45" s="37"/>
      <c r="AF45" s="37"/>
      <c r="AG45" s="37"/>
    </row>
    <row r="46" spans="2:33" x14ac:dyDescent="0.2">
      <c r="B46" s="8"/>
      <c r="C46" s="50" t="s">
        <v>23</v>
      </c>
      <c r="D46" s="50"/>
      <c r="E46" s="50"/>
      <c r="F46" s="50"/>
      <c r="G46" s="50"/>
      <c r="H46" s="50"/>
      <c r="I46" s="50"/>
      <c r="J46" s="50"/>
      <c r="K46" s="50"/>
      <c r="L46" s="50"/>
      <c r="M46" s="50"/>
      <c r="N46" s="50"/>
      <c r="O46" s="50"/>
      <c r="P46" s="50"/>
      <c r="Q46" s="50"/>
      <c r="R46" s="50"/>
      <c r="S46" s="50"/>
      <c r="T46" s="50"/>
      <c r="U46" s="50"/>
      <c r="V46" s="50"/>
      <c r="W46" s="50"/>
      <c r="X46" s="50"/>
      <c r="Y46" s="50"/>
      <c r="Z46" s="33"/>
      <c r="AA46" s="33"/>
      <c r="AB46" s="37"/>
      <c r="AC46" s="37"/>
      <c r="AD46" s="37"/>
      <c r="AE46" s="37"/>
      <c r="AF46" s="37"/>
      <c r="AG46" s="37"/>
    </row>
    <row r="47" spans="2:33" x14ac:dyDescent="0.2">
      <c r="B47" s="8"/>
      <c r="C47" s="41"/>
      <c r="D47" s="41"/>
      <c r="E47" s="41"/>
      <c r="F47" s="41"/>
      <c r="G47" s="41"/>
      <c r="H47" s="41"/>
      <c r="I47" s="41"/>
      <c r="J47" s="41"/>
      <c r="K47" s="41"/>
      <c r="L47" s="41"/>
      <c r="M47" s="41"/>
      <c r="N47" s="41"/>
      <c r="O47" s="41"/>
      <c r="P47" s="41"/>
      <c r="Q47" s="41"/>
      <c r="R47" s="41"/>
      <c r="S47" s="41"/>
      <c r="T47" s="41"/>
      <c r="U47" s="41"/>
      <c r="V47" s="41"/>
      <c r="W47" s="41"/>
      <c r="X47" s="41"/>
      <c r="Y47" s="41"/>
      <c r="Z47" s="33"/>
      <c r="AA47" s="33"/>
      <c r="AB47" s="37"/>
      <c r="AC47" s="37"/>
      <c r="AD47" s="37"/>
      <c r="AE47" s="37"/>
      <c r="AF47" s="37"/>
      <c r="AG47" s="37"/>
    </row>
    <row r="48" spans="2:33" x14ac:dyDescent="0.2">
      <c r="B48" s="8"/>
      <c r="C48" s="49" t="s">
        <v>30</v>
      </c>
      <c r="D48" s="50"/>
      <c r="E48" s="50"/>
      <c r="F48" s="50"/>
      <c r="G48" s="50"/>
      <c r="H48" s="50"/>
      <c r="I48" s="50"/>
      <c r="J48" s="50"/>
      <c r="K48" s="50"/>
      <c r="L48" s="50"/>
      <c r="M48" s="50"/>
      <c r="N48" s="50"/>
      <c r="O48" s="50"/>
      <c r="P48" s="50"/>
      <c r="Q48" s="50"/>
      <c r="R48" s="50"/>
      <c r="S48" s="50"/>
      <c r="T48" s="50"/>
      <c r="U48" s="50"/>
      <c r="V48" s="50"/>
      <c r="W48" s="50"/>
      <c r="X48" s="50"/>
      <c r="Y48" s="50"/>
      <c r="Z48" s="33"/>
      <c r="AA48" s="33"/>
      <c r="AB48" s="37"/>
      <c r="AC48" s="37"/>
      <c r="AD48" s="37"/>
      <c r="AE48" s="37"/>
      <c r="AF48" s="37"/>
      <c r="AG48" s="37"/>
    </row>
    <row r="49" spans="2:33" x14ac:dyDescent="0.2">
      <c r="B49" s="8"/>
      <c r="C49" s="41"/>
      <c r="D49" s="41"/>
      <c r="E49" s="41"/>
      <c r="F49" s="41"/>
      <c r="G49" s="41"/>
      <c r="H49" s="41"/>
      <c r="I49" s="41"/>
      <c r="J49" s="41"/>
      <c r="K49" s="41"/>
      <c r="L49" s="41"/>
      <c r="M49" s="41"/>
      <c r="N49" s="41"/>
      <c r="O49" s="41"/>
      <c r="P49" s="41"/>
      <c r="Q49" s="41"/>
      <c r="R49" s="41"/>
      <c r="S49" s="41"/>
      <c r="T49" s="41"/>
      <c r="U49" s="41"/>
      <c r="V49" s="41"/>
      <c r="W49" s="41"/>
      <c r="X49" s="41"/>
      <c r="Y49" s="41"/>
      <c r="Z49" s="33"/>
      <c r="AA49" s="33"/>
      <c r="AB49" s="37"/>
      <c r="AC49" s="37"/>
      <c r="AD49" s="37"/>
      <c r="AE49" s="37"/>
      <c r="AF49" s="37"/>
      <c r="AG49" s="37"/>
    </row>
    <row r="50" spans="2:33" x14ac:dyDescent="0.2">
      <c r="B50" s="8"/>
      <c r="C50" s="49" t="s">
        <v>25</v>
      </c>
      <c r="D50" s="49"/>
      <c r="E50" s="49"/>
      <c r="F50" s="49"/>
      <c r="G50" s="49"/>
      <c r="H50" s="49"/>
      <c r="I50" s="49"/>
      <c r="J50" s="49"/>
      <c r="K50" s="49"/>
      <c r="L50" s="49"/>
      <c r="M50" s="49"/>
      <c r="N50" s="49"/>
      <c r="O50" s="49"/>
      <c r="P50" s="49"/>
      <c r="Q50" s="49"/>
      <c r="R50" s="49"/>
      <c r="S50" s="49"/>
      <c r="T50" s="49"/>
      <c r="U50" s="49"/>
      <c r="V50" s="49"/>
      <c r="W50" s="49"/>
      <c r="X50" s="49"/>
      <c r="Y50" s="49"/>
      <c r="Z50" s="33"/>
      <c r="AA50" s="33"/>
      <c r="AB50" s="37"/>
      <c r="AC50" s="37"/>
      <c r="AD50" s="37"/>
      <c r="AE50" s="37"/>
      <c r="AF50" s="37"/>
      <c r="AG50" s="37"/>
    </row>
    <row r="51" spans="2:33" x14ac:dyDescent="0.2">
      <c r="B51" s="8"/>
      <c r="C51" s="49" t="s">
        <v>28</v>
      </c>
      <c r="D51" s="49"/>
      <c r="E51" s="49"/>
      <c r="F51" s="49"/>
      <c r="G51" s="49"/>
      <c r="H51" s="49"/>
      <c r="I51" s="49"/>
      <c r="J51" s="49"/>
      <c r="K51" s="49"/>
      <c r="L51" s="49"/>
      <c r="M51" s="49"/>
      <c r="N51" s="49"/>
      <c r="O51" s="49"/>
      <c r="P51" s="49"/>
      <c r="Q51" s="49"/>
      <c r="R51" s="49"/>
      <c r="S51" s="49"/>
      <c r="T51" s="49"/>
      <c r="U51" s="49"/>
      <c r="V51" s="49"/>
      <c r="W51" s="49"/>
      <c r="X51" s="49"/>
      <c r="Y51" s="49"/>
      <c r="AA51" s="8"/>
      <c r="AB51" s="17"/>
      <c r="AC51" s="17"/>
      <c r="AD51" s="17"/>
      <c r="AE51" s="17"/>
      <c r="AF51" s="17"/>
      <c r="AG51" s="17"/>
    </row>
    <row r="52" spans="2:33" x14ac:dyDescent="0.2">
      <c r="B52" s="8"/>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6"/>
      <c r="AC52" s="36"/>
      <c r="AD52" s="36"/>
      <c r="AE52" s="36"/>
      <c r="AF52" s="36"/>
      <c r="AG52" s="36"/>
    </row>
    <row r="53" spans="2:33" x14ac:dyDescent="0.2">
      <c r="C53" s="47" t="s">
        <v>17</v>
      </c>
      <c r="D53" s="47"/>
      <c r="E53" s="47"/>
      <c r="F53" s="47"/>
      <c r="G53" s="47"/>
      <c r="H53" s="47"/>
      <c r="I53" s="47"/>
      <c r="J53" s="47"/>
      <c r="K53" s="47"/>
      <c r="L53" s="47"/>
      <c r="M53" s="47"/>
      <c r="N53" s="47"/>
      <c r="O53" s="47"/>
      <c r="P53" s="47"/>
      <c r="Q53" s="47"/>
      <c r="R53" s="47"/>
      <c r="S53" s="47"/>
      <c r="T53" s="47"/>
      <c r="U53" s="47"/>
      <c r="V53" s="47"/>
      <c r="W53" s="47"/>
      <c r="X53" s="47"/>
      <c r="Y53" s="47"/>
    </row>
    <row r="54" spans="2:33" x14ac:dyDescent="0.2">
      <c r="C54" s="47" t="s">
        <v>18</v>
      </c>
      <c r="D54" s="47"/>
      <c r="E54" s="47"/>
      <c r="F54" s="47"/>
      <c r="G54" s="47"/>
      <c r="H54" s="47"/>
      <c r="I54" s="47"/>
      <c r="J54" s="47"/>
      <c r="K54" s="47"/>
      <c r="L54" s="47"/>
      <c r="M54" s="47"/>
      <c r="N54" s="47"/>
      <c r="O54" s="47"/>
      <c r="P54" s="47"/>
      <c r="Q54" s="47"/>
      <c r="R54" s="47"/>
      <c r="S54" s="47"/>
      <c r="T54" s="47"/>
      <c r="U54" s="47"/>
      <c r="V54" s="47"/>
      <c r="W54" s="47"/>
      <c r="X54" s="47"/>
      <c r="Y54" s="47"/>
    </row>
    <row r="56" spans="2:33" x14ac:dyDescent="0.2">
      <c r="C56" s="47" t="s">
        <v>27</v>
      </c>
      <c r="D56" s="47"/>
      <c r="E56" s="47"/>
      <c r="F56" s="47"/>
      <c r="G56" s="47"/>
      <c r="H56" s="47"/>
      <c r="I56" s="47"/>
      <c r="J56" s="47"/>
      <c r="K56" s="47"/>
      <c r="L56" s="47"/>
      <c r="M56" s="47"/>
      <c r="N56" s="47"/>
      <c r="O56" s="47"/>
      <c r="P56" s="47"/>
      <c r="Q56" s="47"/>
      <c r="R56" s="47"/>
      <c r="S56" s="47"/>
      <c r="T56" s="47"/>
      <c r="U56" s="47"/>
      <c r="V56" s="47"/>
      <c r="W56" s="47"/>
      <c r="X56" s="47"/>
      <c r="Y56" s="47"/>
      <c r="Z56" s="34"/>
      <c r="AA56" s="34"/>
      <c r="AB56" s="38"/>
      <c r="AC56" s="38"/>
      <c r="AD56" s="38"/>
      <c r="AE56" s="38"/>
      <c r="AF56" s="38"/>
      <c r="AG56" s="38"/>
    </row>
    <row r="57" spans="2:33" x14ac:dyDescent="0.2">
      <c r="C57" s="47" t="s">
        <v>26</v>
      </c>
      <c r="D57" s="47"/>
      <c r="E57" s="47"/>
      <c r="F57" s="47"/>
      <c r="G57" s="47"/>
      <c r="H57" s="47"/>
      <c r="I57" s="47"/>
      <c r="J57" s="47"/>
      <c r="K57" s="47"/>
      <c r="L57" s="47"/>
      <c r="M57" s="47"/>
      <c r="N57" s="47"/>
      <c r="O57" s="47"/>
      <c r="P57" s="47"/>
      <c r="Q57" s="47"/>
      <c r="R57" s="47"/>
      <c r="S57" s="47"/>
      <c r="T57" s="47"/>
      <c r="U57" s="47"/>
      <c r="V57" s="47"/>
      <c r="W57" s="47"/>
      <c r="X57" s="47"/>
      <c r="Y57" s="47"/>
    </row>
  </sheetData>
  <sortState ref="S23:Y28">
    <sortCondition sortBy="icon" ref="T26"/>
  </sortState>
  <mergeCells count="23">
    <mergeCell ref="C57:Y57"/>
    <mergeCell ref="C2:Y2"/>
    <mergeCell ref="C38:Y38"/>
    <mergeCell ref="C45:Y45"/>
    <mergeCell ref="C46:Y46"/>
    <mergeCell ref="C48:Y48"/>
    <mergeCell ref="C50:Y50"/>
    <mergeCell ref="C51:Y51"/>
    <mergeCell ref="C53:Y53"/>
    <mergeCell ref="C54:Y54"/>
    <mergeCell ref="C56:Y56"/>
    <mergeCell ref="C3:I3"/>
    <mergeCell ref="K3:Q3"/>
    <mergeCell ref="S3:Y3"/>
    <mergeCell ref="C12:I12"/>
    <mergeCell ref="C30:I30"/>
    <mergeCell ref="K30:Q30"/>
    <mergeCell ref="S30:Y30"/>
    <mergeCell ref="S12:Y12"/>
    <mergeCell ref="C1:Y1"/>
    <mergeCell ref="C21:I21"/>
    <mergeCell ref="K21:Q21"/>
    <mergeCell ref="S21:Y21"/>
  </mergeCells>
  <phoneticPr fontId="1" type="noConversion"/>
  <conditionalFormatting sqref="E7">
    <cfRule type="timePeriod" dxfId="0" priority="1" timePeriod="yesterday">
      <formula>FLOOR(E7,1)=TODAY()-1</formula>
    </cfRule>
  </conditionalFormatting>
  <dataValidations count="1">
    <dataValidation type="whole" allowBlank="1" showInputMessage="1" showErrorMessage="1" sqref="A2:B2">
      <formula1>1900</formula1>
      <formula2>9999</formula2>
    </dataValidation>
  </dataValidations>
  <printOptions horizontalCentered="1" verticalCentered="1"/>
  <pageMargins left="0.25" right="0.25" top="0.25" bottom="0.25" header="0.3" footer="0.3"/>
  <pageSetup paperSize="5" scale="90"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print="0" autoPict="0">
                <anchor moveWithCells="1">
                  <from>
                    <xdr:col>0</xdr:col>
                    <xdr:colOff>523875</xdr:colOff>
                    <xdr:row>1</xdr:row>
                    <xdr:rowOff>0</xdr:rowOff>
                  </from>
                  <to>
                    <xdr:col>1</xdr:col>
                    <xdr:colOff>47625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opLeftCell="A16" workbookViewId="0">
      <selection activeCell="O36" sqref="O36"/>
    </sheetView>
  </sheetViews>
  <sheetFormatPr defaultRowHeight="12.75" x14ac:dyDescent="0.2"/>
  <sheetData>
    <row r="1" spans="1:3" x14ac:dyDescent="0.2">
      <c r="A1" s="51"/>
      <c r="B1" s="51"/>
      <c r="C1" s="51"/>
    </row>
  </sheetData>
  <mergeCells count="1">
    <mergeCell ref="A1:C1"/>
  </mergeCells>
  <pageMargins left="0.7" right="0.7" top="0.75" bottom="0.75" header="0.3" footer="0.3"/>
  <pageSetup paperSize="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C51E121-EAAA-4177-A3CE-5E771B2D0C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vt:lpstr>
      <vt:lpstr>Back Side</vt:lpstr>
      <vt:lpstr>'Back Side'!Print_Area</vt:lpstr>
      <vt:lpstr>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2014-09-04T18:40:50Z</dcterms:created>
  <dcterms:modified xsi:type="dcterms:W3CDTF">2020-05-06T18:32:14Z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TC102741249990</vt:lpwstr>
  </property>
</Properties>
</file>